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2" Type="http://schemas.openxmlformats.org/officeDocument/2006/relationships/extended-properties" Target="docProps/app.xml" /><Relationship Id="rId3"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x:workbook xmlns:r="http://schemas.openxmlformats.org/officeDocument/2006/relationships" xmlns:x="http://schemas.openxmlformats.org/spreadsheetml/2006/main">
  <x:fileVersion appName="xl" lastEdited="6" lowestEdited="4" rupBuild="14420"/>
  <x:workbookPr codeName="ThisWorkbook" defaultThemeVersion="124226"/>
  <x:bookViews>
    <x:workbookView xWindow="240" yWindow="180" windowWidth="24735" windowHeight="12150" firstSheet="1" activeTab="1"/>
  </x:bookViews>
  <x:sheets>
    <x:sheet name="What do I need to do" sheetId="2" r:id="rId1"/>
    <x:sheet name="COA worksheet" sheetId="1" r:id="rId2"/>
    <x:sheet name="Checklist" sheetId="4" r:id="rId3"/>
    <x:sheet name="Visa Support Letter" sheetId="5" r:id="rId4"/>
    <x:sheet name="Calculations" sheetId="6" r:id="rId5"/>
    <x:sheet name="Sheet1" sheetId="7" r:id="rId6"/>
    <x:sheet name="Sheet2" sheetId="8" r:id="rId7"/>
  </x:sheets>
  <x:definedNames>
    <x:definedName name="Dependent_independent">'COA worksheet'!$D$42</x:definedName>
  </x:definedNames>
  <x:calcPr calcId="152511" fullPrecision="1"/>
</x:workbook>
</file>

<file path=xl/sharedStrings.xml><?xml version="1.0" encoding="utf-8"?>
<sst xmlns="http://schemas.openxmlformats.org/spreadsheetml/2006/main" uniqueCount="269" count="280">
  <si>
    <t>Tuition fee</t>
  </si>
  <si>
    <t>Weekly</t>
  </si>
  <si>
    <t xml:space="preserve">Annual </t>
  </si>
  <si>
    <t>Tuition and fees</t>
  </si>
  <si>
    <t>Room and board</t>
  </si>
  <si>
    <t>Dependent care</t>
  </si>
  <si>
    <t>Study abroad expenses</t>
  </si>
  <si>
    <t>Disability expenses</t>
  </si>
  <si>
    <t>Employment expenses (co-op study)</t>
  </si>
  <si>
    <t>Loan fees</t>
  </si>
  <si>
    <t>Total cost of attendance</t>
  </si>
  <si>
    <t>Calculator</t>
  </si>
  <si>
    <t>Weeks</t>
  </si>
  <si>
    <t>Check (should equal zero)</t>
  </si>
  <si>
    <t>Disablity expenses</t>
  </si>
  <si>
    <t>Employment expenses</t>
  </si>
  <si>
    <t>SSN</t>
  </si>
  <si>
    <t>Course</t>
  </si>
  <si>
    <t>Contingency fund</t>
  </si>
  <si>
    <t>EFC (from SAR)</t>
  </si>
  <si>
    <t>Personal funds available in support</t>
  </si>
  <si>
    <t>Books, supplies, transport, prsnl, misc</t>
  </si>
  <si>
    <t>External funds (loan, grant, scholarship)</t>
  </si>
  <si>
    <t>Email</t>
  </si>
  <si>
    <t>Name</t>
  </si>
  <si>
    <t>What do I need to do?</t>
  </si>
  <si>
    <t>2. The 'Checklist' worksheet (compulsory)</t>
  </si>
  <si>
    <t>Please send your completed COA spreadsheet to us at:</t>
  </si>
  <si>
    <t>What happens next?</t>
  </si>
  <si>
    <t xml:space="preserve">1. We will begin to process your loan application </t>
  </si>
  <si>
    <t>2. If we have any questions or encounter any difficulties with your loan, we will contact you by email</t>
  </si>
  <si>
    <t>3. If there are no difficulties with your application, we will aim to send your loan confirmation letter by email and post within two weeks</t>
  </si>
  <si>
    <t>Applying for a Sallie Mae private loan?</t>
  </si>
  <si>
    <t xml:space="preserve">If you are applying for a private loan through Sallie Mae, you should still submit this spreadsheet, but you do not need to complete the Checklist worksheet.  If you are eligible for federal direct loans, but decide to take a private loan instead, please state your reasons when you send the COA spreadsheet to us. </t>
  </si>
  <si>
    <t>Useful links</t>
  </si>
  <si>
    <t>Total</t>
  </si>
  <si>
    <t>Direct Subsidized</t>
  </si>
  <si>
    <t>Direct Unsubsidized</t>
  </si>
  <si>
    <t>Checklist Worksheet</t>
  </si>
  <si>
    <t>General</t>
  </si>
  <si>
    <t>Response</t>
  </si>
  <si>
    <t>Error Messages</t>
  </si>
  <si>
    <t>Yes</t>
  </si>
  <si>
    <t>FAFSA</t>
  </si>
  <si>
    <t>Have you completed your FAFSA application?</t>
  </si>
  <si>
    <t xml:space="preserve">Have you indicated your college code on your FAFSA application? </t>
  </si>
  <si>
    <t>COA worksheet</t>
  </si>
  <si>
    <t>Have you entered your personal details (name, SSN, date of birth, programme details) in full on the CoA worksheet?</t>
  </si>
  <si>
    <t>No</t>
  </si>
  <si>
    <t>Have you entered your tuition and college fees on the COA worksheet?</t>
  </si>
  <si>
    <t>Male</t>
  </si>
  <si>
    <t>Have you entered your EFC (expected family contribution) on the COA worksheet?</t>
  </si>
  <si>
    <t>Have you entered how much you wish to borrow into Box B on the COA worksheet?</t>
  </si>
  <si>
    <t>Selective Service</t>
  </si>
  <si>
    <t>Are you male or female?</t>
  </si>
  <si>
    <t>Master Promissory Notes (MPNs)</t>
  </si>
  <si>
    <t>Have you applied for a Direct subsidized or unsubsidized loan?</t>
  </si>
  <si>
    <t>Have you applied for a PLUS Loan?</t>
  </si>
  <si>
    <t>Entrance Counselling</t>
  </si>
  <si>
    <t>Is this the first year of your course?</t>
  </si>
  <si>
    <t>Educational need</t>
  </si>
  <si>
    <t>Before you submit this spreadsheet, you should have completed your FAFSA application, Master Promissary Notes (MPNs) and your entrance counselling. Further details of the application process are available on our website:</t>
  </si>
  <si>
    <t>Educational Need calculator</t>
  </si>
  <si>
    <t>Interest</t>
  </si>
  <si>
    <t>Loan Type</t>
  </si>
  <si>
    <t>Address</t>
  </si>
  <si>
    <t>Calculate subsidised limit</t>
  </si>
  <si>
    <t>Calculate unsubsidised limit</t>
  </si>
  <si>
    <t>Cost of Attendance - Southampton Solent University</t>
  </si>
  <si>
    <t>1. The 'COA' worksheet (compulsory) - complete all boxes in blue</t>
  </si>
  <si>
    <t>Subsidised</t>
  </si>
  <si>
    <t>Unsubsidised</t>
  </si>
  <si>
    <t>PLUS</t>
  </si>
  <si>
    <t>£:$ Exchange rate</t>
  </si>
  <si>
    <t>Interest rates</t>
  </si>
  <si>
    <t>Date of birth (MM/DD/YY)</t>
  </si>
  <si>
    <t>Current rate</t>
  </si>
  <si>
    <t>Disbursement 1</t>
  </si>
  <si>
    <t>Disbursement 2</t>
  </si>
  <si>
    <t>Disbursement 3</t>
  </si>
  <si>
    <t>EFC on unsub</t>
  </si>
  <si>
    <t>EFC on sub</t>
  </si>
  <si>
    <t>Dependent/independent status</t>
  </si>
  <si>
    <t>Total GBP £</t>
  </si>
  <si>
    <t>Total USD $</t>
  </si>
  <si>
    <r>
      <t xml:space="preserve">Have you been allocated an </t>
    </r>
    <r>
      <rPr>
        <b/>
        <sz val="10"/>
        <rFont val="Arial"/>
        <charset val="0"/>
      </rPr>
      <t>unconditional</t>
    </r>
    <r>
      <rPr>
        <sz val="10"/>
        <rFont val="Arial"/>
        <charset val="0"/>
      </rPr>
      <t xml:space="preserve"> offer for your course?</t>
    </r>
  </si>
  <si>
    <t>Female</t>
  </si>
  <si>
    <r>
      <t xml:space="preserve">Once you have finished the above, you need to </t>
    </r>
    <r>
      <rPr>
        <b/>
        <u val="single"/>
        <sz val="10"/>
        <rFont val="Arial"/>
        <charset val="0"/>
      </rPr>
      <t>complete all tabs of this spreadsheet</t>
    </r>
    <r>
      <rPr>
        <sz val="10"/>
        <rFont val="Arial"/>
        <charset val="0"/>
      </rPr>
      <t>, including:</t>
    </r>
  </si>
  <si>
    <t>Notification of Student Loan</t>
  </si>
  <si>
    <t xml:space="preserve">This is to certify that </t>
  </si>
  <si>
    <t>Student Name</t>
  </si>
  <si>
    <t>Date of Birth (dd/mm/yyyy)</t>
  </si>
  <si>
    <t>has been accepted in a degree-granting program (or otherwise eligible program) at our school.</t>
  </si>
  <si>
    <t>Start Date</t>
  </si>
  <si>
    <t>End Date</t>
  </si>
  <si>
    <t>Loan Amount</t>
  </si>
  <si>
    <t>Direct Subsidized Loan</t>
  </si>
  <si>
    <t>Direct Unsubsidized Loan</t>
  </si>
  <si>
    <t>Direct PLUS Loan</t>
  </si>
  <si>
    <t>The disbursement dates are as follows:</t>
  </si>
  <si>
    <t>Date Issued</t>
  </si>
  <si>
    <t xml:space="preserve">We participate in the William D. Ford Federal Direct Loan (Direct Loan) Program administered by the United States (U.S.) Department of Education. Eligible students from the U.S. who attend our school may borrow through the Direct Loan Program. Undergraduate students and graduate/professional students may receive Direct Subsidized Loans and Direct Unsubsidized Loans. Graduate/professional students and parents may receive Direct PLUS Loans. </t>
  </si>
  <si>
    <t>(calculations are automatic)</t>
  </si>
  <si>
    <t>STANDING DATA - loan dates</t>
  </si>
  <si>
    <t>and stamped by the Office stamp.</t>
  </si>
  <si>
    <t>Level of course (Undergrad. Postgrad)</t>
  </si>
  <si>
    <t>This certificate is only valid if printed on</t>
  </si>
  <si>
    <t>school headed paper, signed by the person</t>
  </si>
  <si>
    <t>whose initials are ringed below</t>
  </si>
  <si>
    <t>http://www.solent.ac.uk/student-life/welfare/funding/us-federal-loans.aspx</t>
  </si>
  <si>
    <t>Sub &amp; Unsub Total</t>
  </si>
  <si>
    <t>student.funding@solent.ac.uk</t>
  </si>
  <si>
    <t>FAFSA: http://www.fafsa.ed.gov</t>
  </si>
  <si>
    <t>For Master Promissory Notes (MPN): https://studentloans.gov</t>
  </si>
  <si>
    <t>Disbursements</t>
  </si>
  <si>
    <t>Based on our calculation of financial needs and Direct Loan eligibility for the loan period:</t>
  </si>
  <si>
    <t>the student (or, in some cases, the student’s parent) will receive the following:</t>
  </si>
  <si>
    <t>Max limits</t>
  </si>
  <si>
    <t>EFC on total</t>
  </si>
  <si>
    <t>GBP£:USD$ exchange rate</t>
  </si>
  <si>
    <t>SOLENT staff only: Editable fields</t>
  </si>
  <si>
    <t>Travel to home country</t>
  </si>
  <si>
    <t>Institution name</t>
  </si>
  <si>
    <t>Institution address</t>
  </si>
  <si>
    <t>Southampton Solent University</t>
  </si>
  <si>
    <t>Telephone</t>
  </si>
  <si>
    <t>+44(0)2380319817</t>
  </si>
  <si>
    <t>Contact details</t>
  </si>
  <si>
    <t>Contact name</t>
  </si>
  <si>
    <t>This rate is used for calculation purposes only. The true exchange rate is not known until the loans are processed during the year. Using a static exchange rate wit a safety margin for calculations ensures a fair system for all students at application stage.</t>
  </si>
  <si>
    <t>Actual exchange rate</t>
  </si>
  <si>
    <t>3. Please check the details in the 'Visa Support Letter' and notify us of any problems</t>
  </si>
  <si>
    <t>East Park Terrace, Southampton, SO14 0YN</t>
  </si>
  <si>
    <t>Undergrad end</t>
  </si>
  <si>
    <t>Postgrad start</t>
  </si>
  <si>
    <t>Postgrad end</t>
  </si>
  <si>
    <t>Undergrad start</t>
  </si>
  <si>
    <t>Authorise date</t>
  </si>
  <si>
    <t>Disbursement date</t>
  </si>
  <si>
    <t>Institution checklist</t>
  </si>
  <si>
    <t>Section 1 - Eligibility</t>
  </si>
  <si>
    <t>Notes</t>
  </si>
  <si>
    <t>Check with recruitment</t>
  </si>
  <si>
    <t>For continuing only. SAR received and entered on NSLDS</t>
  </si>
  <si>
    <t>If C indicated, must be cleared</t>
  </si>
  <si>
    <t>Must have 0 or number. If blank cannot proceed</t>
  </si>
  <si>
    <t>Must have copy of SAR in file (from Ed Connect)</t>
  </si>
  <si>
    <t>Check in MPN on COD</t>
  </si>
  <si>
    <t>If PLUS loan taken, check if PLUS MPN on COD</t>
  </si>
  <si>
    <t>X</t>
  </si>
  <si>
    <t>Section 2 - Data check</t>
  </si>
  <si>
    <t>Section 3 - Counselling/MPN</t>
  </si>
  <si>
    <t>This number should match latest CPs number on COD</t>
  </si>
  <si>
    <t>Student enrolled?</t>
  </si>
  <si>
    <t>Academically qualified?</t>
  </si>
  <si>
    <t>Satisfactory academic progress?</t>
  </si>
  <si>
    <t>SAR received?</t>
  </si>
  <si>
    <t>Data based on COD CPS number?</t>
  </si>
  <si>
    <t>SAR in file?</t>
  </si>
  <si>
    <t>EFC has value (SAR, top right)?</t>
  </si>
  <si>
    <t>No 'C' indicator (SAR top right)?</t>
  </si>
  <si>
    <t>Entry Counselling (DL)?</t>
  </si>
  <si>
    <t>MPN (DL)?</t>
  </si>
  <si>
    <t>Entry Counselling (PLUS)?</t>
  </si>
  <si>
    <t>MPN (PLUS)?</t>
  </si>
  <si>
    <t>Cost of Attendance breakdown (same format as entry boxes on COD)</t>
  </si>
  <si>
    <t>Direct PLUS loan</t>
  </si>
  <si>
    <r>
      <t/>
    </r>
    <r>
      <rPr>
        <b/>
        <sz val="9"/>
        <color rgb="FFC00000"/>
        <rFont val="Arial"/>
        <charset val="0"/>
      </rPr>
      <t>OR</t>
    </r>
    <r>
      <rPr>
        <sz val="9"/>
        <rFont val="Arial"/>
        <charset val="0"/>
      </rPr>
      <t xml:space="preserve"> Private loan (Sally Mae)</t>
    </r>
  </si>
  <si>
    <t>via Ed Express</t>
  </si>
  <si>
    <t>If first time may not be enrolled yet</t>
  </si>
  <si>
    <t>Aggregate max to date</t>
  </si>
  <si>
    <t>Extract aggregates</t>
  </si>
  <si>
    <t>Must be US Citizen (SAR 14)</t>
  </si>
  <si>
    <t>US citizen?</t>
  </si>
  <si>
    <t>From SAR page 4 and complete below</t>
  </si>
  <si>
    <t>Section 4 - Cross checks (this loan)</t>
  </si>
  <si>
    <t>Section 5 - Aggregate totals</t>
  </si>
  <si>
    <t>Aggregate unsub inc this loan</t>
  </si>
  <si>
    <t xml:space="preserve">Max total aggregate permitted </t>
  </si>
  <si>
    <t>Maximum aggregate sub</t>
  </si>
  <si>
    <t>Max PLUS authorised</t>
  </si>
  <si>
    <t>Check if EC on COD (new only)</t>
  </si>
  <si>
    <t>If PLUS loan taken, check if PLUS EC on COD (new only)</t>
  </si>
  <si>
    <t>Check that these fields are correct for the academic year you are working on, and that the exchange rate is within acceptible levels. You should only need to edit dark PINK fields.</t>
  </si>
  <si>
    <t>Subsidised loans (total)</t>
  </si>
  <si>
    <t>Unsubsidised loans (total)</t>
  </si>
  <si>
    <t>FFEL or Direct Loans</t>
  </si>
  <si>
    <t>Combined loans</t>
  </si>
  <si>
    <t>Max sub</t>
  </si>
  <si>
    <t>Maximum sub (adjusted)</t>
  </si>
  <si>
    <t>Sub provided (COD)</t>
  </si>
  <si>
    <t>Max unsub</t>
  </si>
  <si>
    <t>Maximum unsub (adjusted)</t>
  </si>
  <si>
    <t>Unsub provided (COD)</t>
  </si>
  <si>
    <t>PLUS provided (COD)</t>
  </si>
  <si>
    <t xml:space="preserve">Private provided </t>
  </si>
  <si>
    <t>Maximum authorised</t>
  </si>
  <si>
    <t>Total granted (COD + Private)</t>
  </si>
  <si>
    <t>Total sub to date (from SAR)</t>
  </si>
  <si>
    <t>Aggregate sub inc this loan (full)</t>
  </si>
  <si>
    <t>Total unsub to date (from SAR)</t>
  </si>
  <si>
    <t>Any flags above must be corrected</t>
  </si>
  <si>
    <t>% Rate</t>
  </si>
  <si>
    <t>Sub Orig Fee</t>
  </si>
  <si>
    <t>Unsub Orig Fee</t>
  </si>
  <si>
    <t>PLUS Orig fee</t>
  </si>
  <si>
    <t>Loan type</t>
  </si>
  <si>
    <t>Max borrow</t>
  </si>
  <si>
    <t>Final rate</t>
  </si>
  <si>
    <t>Interest rebate</t>
  </si>
  <si>
    <t>Actual factor</t>
  </si>
  <si>
    <t>CoA</t>
  </si>
  <si>
    <t>Less EFC</t>
  </si>
  <si>
    <t>Need for Sub</t>
  </si>
  <si>
    <t>Sub available</t>
  </si>
  <si>
    <t>Sub Calc</t>
  </si>
  <si>
    <t>Need for Unsub</t>
  </si>
  <si>
    <t>Unsub available</t>
  </si>
  <si>
    <t>Unsub Calc</t>
  </si>
  <si>
    <t>PLUS NEED</t>
  </si>
  <si>
    <t>Need for PLUS</t>
  </si>
  <si>
    <t>PLUS Available</t>
  </si>
  <si>
    <t>PLUS Calc</t>
  </si>
  <si>
    <t>Max CoA before Interview</t>
  </si>
  <si>
    <t>Max Loan after grossing up for Fees adjustments</t>
  </si>
  <si>
    <t>Request</t>
  </si>
  <si>
    <t>Max amount</t>
  </si>
  <si>
    <t>From page 4 of SAR, please enter:</t>
  </si>
  <si>
    <t>Max allowed</t>
  </si>
  <si>
    <t>After origination fees you get</t>
  </si>
  <si>
    <t xml:space="preserve">          Calculating how muich you may borrow, and how much you will receive</t>
  </si>
  <si>
    <t>(Up to max allowed)</t>
  </si>
  <si>
    <t>For entrance counselling: https://studentloans.gov</t>
  </si>
  <si>
    <t>For exit counselling: https://studentloans.gov</t>
  </si>
  <si>
    <t>Total Direct PLUS</t>
  </si>
  <si>
    <t>Total loan via university</t>
  </si>
  <si>
    <t>TOTALS</t>
  </si>
  <si>
    <t>Sub need</t>
  </si>
  <si>
    <t>Origination</t>
  </si>
  <si>
    <t>Maximum private loan supported (CoA)</t>
  </si>
  <si>
    <t>SW     AG</t>
  </si>
  <si>
    <t>Fees</t>
  </si>
  <si>
    <t>Origination fee calculator</t>
  </si>
  <si>
    <t>Subtotal cost of attendence</t>
  </si>
  <si>
    <t>TOTAL COA</t>
  </si>
  <si>
    <t>(from the university)</t>
  </si>
  <si>
    <t>Actual fees</t>
  </si>
  <si>
    <t>Joanna Wakely</t>
  </si>
  <si>
    <t>If you have any difficulties, you can call us on +44 2380 319427 between 10am and 4pm (UK time) Monday to Friday</t>
  </si>
  <si>
    <t xml:space="preserve">Please ensure that you have adequate resources at the beginning of the year to cover your maintenance costs for the first few weeks of term in case of a delay in processing your loan. Federal loan funds are be disbursed in 3 termly instalments; they cannot be disbursed in one lump sum. Any loans to be disbursed for maintenance will only be paid into a UK bank account.  For new applicants please notify the university of your bank details as soon as these are available by e-mailing us.federalloan@solent.ac.uk.  Disbursement dates are approximate as the money has to be sent from the US to the university in the UK, and maintenance payments from the university to the student will take an additional three working days to arrive to allow for the UK domestic bank transfer.
</t>
  </si>
  <si>
    <t>Personal/miscellaneous</t>
  </si>
  <si>
    <t>Living costs inc food</t>
  </si>
  <si>
    <t>Rent inc utilities</t>
  </si>
  <si>
    <t>Govt fees**</t>
  </si>
  <si>
    <t>Computer/printer  allowance</t>
  </si>
  <si>
    <t>UG</t>
  </si>
  <si>
    <t>$1.65</t>
  </si>
  <si>
    <t>Local transport</t>
  </si>
  <si>
    <t>Visa &amp; Health charge fees</t>
  </si>
  <si>
    <t>Books and study materials</t>
  </si>
  <si>
    <t>Academic Year 2015/2016</t>
  </si>
  <si>
    <t>Loan origination fees**</t>
  </si>
  <si>
    <t>Dependent</t>
  </si>
  <si>
    <t>CB       TC</t>
  </si>
  <si>
    <t xml:space="preserve">JW      LM </t>
  </si>
  <si>
    <t>Credits to your bank account will normally arrive within a further 5 working days of this date.</t>
  </si>
  <si>
    <t xml:space="preserve">*This is the date that funds will be credited to your university student account. </t>
  </si>
  <si>
    <t>NB. We cannot disburse loans before the 1st Oct*, you will need to finance your own travel to Southampton and living costs until then.</t>
  </si>
  <si>
    <t>3+</t>
  </si>
</sst>
</file>

<file path=xl/styles.xml><?xml version="1.0" encoding="utf-8"?>
<styleSheet xmlns:mc="http://schemas.openxmlformats.org/markup-compatibility/2006" xmlns:x14ac="http://schemas.microsoft.com/office/spreadsheetml/2009/9/ac" xmlns="http://schemas.openxmlformats.org/spreadsheetml/2006/main" mc:Ignorable="x14ac">
  <numFmts count="10">
    <numFmt numFmtId="43" formatCode="_-* #,##0.00_-;\-* #,##0.00_-;_-* &quot;-&quot;??_-;_-@_-"/>
    <numFmt numFmtId="164" formatCode="&quot;£&quot;#,##0.00"/>
    <numFmt numFmtId="165" formatCode="[$$-409]#,##0.00"/>
    <numFmt numFmtId="166" formatCode="[$$-409]#,##0.00;[Red][$$-409]#,##0.00"/>
    <numFmt numFmtId="167" formatCode="[$$-409]#,##0"/>
    <numFmt numFmtId="168" formatCode="0.0000"/>
    <numFmt numFmtId="169" formatCode="[$-809]d\ mmmm\ yyyy;@"/>
    <numFmt numFmtId="170" formatCode="[$-F800]dddd\,\ mmmm\ dd\,\ yyyy"/>
    <numFmt numFmtId="171" formatCode="[$-809]dd\ mmmm\ yyyy;@"/>
    <numFmt numFmtId="172" formatCode="0.000"/>
  </numFmts>
  <fonts count="87">
    <font>
      <sz val="11"/>
      <color theme="1"/>
      <name val="Calibri"/>
      <charset val="0"/>
    </font>
    <font>
      <b/>
      <sz val="10"/>
      <color theme="1"/>
      <name val="Arial"/>
      <charset val="0"/>
    </font>
    <font>
      <sz val="10"/>
      <color theme="1"/>
      <name val="Arial"/>
      <charset val="0"/>
    </font>
    <font>
      <sz val="11"/>
      <color theme="1"/>
      <name val="Arial"/>
      <charset val="0"/>
    </font>
    <font>
      <sz val="11"/>
      <color theme="1"/>
      <name val="Calibri"/>
      <charset val="0"/>
    </font>
    <font>
      <sz val="10"/>
      <color theme="0"/>
      <name val="Arial"/>
      <charset val="0"/>
    </font>
    <font>
      <b/>
      <sz val="9"/>
      <color theme="1"/>
      <name val="Arial"/>
      <charset val="0"/>
    </font>
    <font>
      <sz val="9"/>
      <color theme="1"/>
      <name val="Arial"/>
      <charset val="0"/>
    </font>
    <font>
      <sz val="9"/>
      <color rgb="FF454545"/>
      <name val="Arial"/>
      <charset val="0"/>
    </font>
    <font>
      <u val="single"/>
      <sz val="11"/>
      <color theme="10"/>
      <name val="Calibri"/>
      <charset val="0"/>
    </font>
    <font>
      <sz val="11"/>
      <name val="Calibri"/>
      <charset val="0"/>
    </font>
    <font>
      <u val="single"/>
      <sz val="10"/>
      <color indexed="12"/>
      <name val="Arial"/>
      <charset val="0"/>
    </font>
    <font>
      <b/>
      <sz val="9"/>
      <name val="Arial"/>
      <charset val="0"/>
    </font>
    <font>
      <sz val="9"/>
      <name val="Arial"/>
      <charset val="0"/>
    </font>
    <font>
      <b/>
      <sz val="9"/>
      <color indexed="9"/>
      <name val="Arial"/>
      <charset val="0"/>
    </font>
    <font>
      <i/>
      <sz val="9"/>
      <name val="Arial"/>
      <charset val="0"/>
    </font>
    <font>
      <sz val="9"/>
      <color indexed="9"/>
      <name val="Arial"/>
      <charset val="0"/>
    </font>
    <font>
      <b/>
      <u val="single"/>
      <sz val="9"/>
      <name val="Arial"/>
      <charset val="0"/>
    </font>
    <font>
      <b/>
      <sz val="9"/>
      <color theme="0"/>
      <name val="Arial"/>
      <charset val="0"/>
    </font>
    <font>
      <b/>
      <sz val="11"/>
      <color theme="0"/>
      <name val="Calibri"/>
      <charset val="0"/>
    </font>
    <font>
      <sz val="11"/>
      <color theme="0"/>
      <name val="Calibri"/>
      <charset val="0"/>
    </font>
    <font>
      <sz val="6"/>
      <color theme="1"/>
      <name val="Arial"/>
      <charset val="0"/>
    </font>
    <font>
      <b/>
      <sz val="6"/>
      <color indexed="40"/>
      <name val="Arial"/>
      <charset val="0"/>
    </font>
    <font>
      <b/>
      <u val="single"/>
      <sz val="6"/>
      <color indexed="40"/>
      <name val="Arial"/>
      <charset val="0"/>
    </font>
    <font>
      <sz val="6"/>
      <color indexed="40"/>
      <name val="Arial"/>
      <charset val="0"/>
    </font>
    <font>
      <sz val="8"/>
      <color theme="1"/>
      <name val="Calibri"/>
      <charset val="0"/>
    </font>
    <font>
      <sz val="8"/>
      <color theme="1"/>
      <name val="Arial"/>
      <charset val="0"/>
    </font>
    <font>
      <b/>
      <sz val="10"/>
      <color rgb="FFFF0000"/>
      <name val="Arial"/>
      <charset val="0"/>
    </font>
    <font>
      <sz val="8"/>
      <color theme="0" tint="-0.499984740745262"/>
      <name val="Arial"/>
      <charset val="0"/>
    </font>
    <font>
      <sz val="6"/>
      <color theme="0" tint="-0.499984740745262"/>
      <name val="Arial"/>
      <charset val="0"/>
    </font>
    <font>
      <sz val="8"/>
      <name val="Arial"/>
      <charset val="0"/>
    </font>
    <font>
      <b/>
      <sz val="8"/>
      <color theme="0" tint="-0.499984740745262"/>
      <name val="Arial"/>
      <charset val="0"/>
    </font>
    <font>
      <sz val="11"/>
      <color theme="0" tint="-0.499984740745262"/>
      <name val="Calibri"/>
      <charset val="0"/>
    </font>
    <font>
      <i/>
      <sz val="8"/>
      <color theme="0" tint="-0.499984740745262"/>
      <name val="Arial"/>
      <charset val="0"/>
    </font>
    <font>
      <u val="single"/>
      <sz val="8"/>
      <color theme="0" tint="-0.499984740745262"/>
      <name val="Arial"/>
      <charset val="0"/>
    </font>
    <font>
      <sz val="11"/>
      <name val="Arial"/>
      <charset val="0"/>
    </font>
    <font>
      <b/>
      <sz val="10"/>
      <name val="Arial"/>
      <charset val="0"/>
    </font>
    <font>
      <sz val="10"/>
      <name val="Arial"/>
      <charset val="0"/>
    </font>
    <font>
      <b/>
      <sz val="10"/>
      <color theme="0"/>
      <name val="Arial"/>
      <charset val="0"/>
    </font>
    <font>
      <b/>
      <sz val="10"/>
      <color indexed="10"/>
      <name val="Arial"/>
      <charset val="0"/>
    </font>
    <font>
      <b/>
      <sz val="10"/>
      <color indexed="52"/>
      <name val="Arial"/>
      <charset val="0"/>
    </font>
    <font>
      <b/>
      <u val="single"/>
      <sz val="18"/>
      <color theme="0"/>
      <name val="Arial"/>
      <charset val="0"/>
    </font>
    <font>
      <b/>
      <sz val="8"/>
      <name val="Arial"/>
      <charset val="0"/>
    </font>
    <font>
      <sz val="6"/>
      <color theme="0"/>
      <name val="Arial"/>
      <charset val="0"/>
    </font>
    <font>
      <b/>
      <u val="single"/>
      <sz val="10"/>
      <name val="Arial"/>
      <charset val="0"/>
    </font>
    <font>
      <sz val="8"/>
      <name val="Trebuchet MS"/>
      <charset val="0"/>
    </font>
    <font>
      <sz val="8"/>
      <color theme="0"/>
      <name val="Trebuchet MS"/>
      <charset val="0"/>
    </font>
    <font>
      <b/>
      <sz val="8"/>
      <name val="Times New Roman"/>
      <charset val="0"/>
    </font>
    <font>
      <b/>
      <sz val="16"/>
      <color theme="0"/>
      <name val="Arial"/>
      <charset val="0"/>
    </font>
    <font>
      <sz val="10"/>
      <color indexed="40"/>
      <name val="Arial"/>
      <charset val="0"/>
    </font>
    <font>
      <b/>
      <sz val="10"/>
      <color indexed="40"/>
      <name val="Arial"/>
      <charset val="0"/>
    </font>
    <font>
      <b/>
      <sz val="12"/>
      <color indexed="40"/>
      <name val="Arial"/>
      <charset val="0"/>
    </font>
    <font>
      <u val="single"/>
      <sz val="10"/>
      <color theme="10"/>
      <name val="Arial"/>
      <charset val="0"/>
    </font>
    <font>
      <b/>
      <sz val="14"/>
      <color theme="0"/>
      <name val="Arial"/>
      <charset val="0"/>
    </font>
    <font>
      <b/>
      <sz val="9"/>
      <color rgb="FFC00000"/>
      <name val="Arial"/>
      <charset val="0"/>
    </font>
    <font>
      <b/>
      <sz val="8"/>
      <color theme="1" tint="0.0499893185216834"/>
      <name val="Arial"/>
      <charset val="0"/>
    </font>
    <font>
      <sz val="11"/>
      <color theme="0" tint="-0.249977111117893"/>
      <name val="Calibri"/>
      <charset val="0"/>
    </font>
    <font>
      <b/>
      <sz val="8"/>
      <color theme="1"/>
      <name val="Arial"/>
      <charset val="0"/>
    </font>
    <font>
      <b/>
      <u val="single"/>
      <sz val="8"/>
      <color theme="1"/>
      <name val="Arial"/>
      <charset val="0"/>
    </font>
    <font>
      <b/>
      <sz val="8"/>
      <color rgb="FFFF0000"/>
      <name val="Arial"/>
      <charset val="0"/>
    </font>
    <font>
      <sz val="8"/>
      <color indexed="40"/>
      <name val="Arial"/>
      <charset val="0"/>
    </font>
    <font>
      <b/>
      <sz val="8"/>
      <color theme="1" tint="0.34998626667073579"/>
      <name val="Arial"/>
      <charset val="0"/>
    </font>
    <font>
      <b/>
      <sz val="11"/>
      <color theme="1"/>
      <name val="Calibri"/>
      <charset val="0"/>
    </font>
    <font>
      <sz val="9"/>
      <color theme="1"/>
      <name val="Calibri"/>
      <charset val="0"/>
    </font>
    <font>
      <b/>
      <sz val="8"/>
      <color rgb="FFC00000"/>
      <name val="Arial"/>
      <charset val="0"/>
    </font>
    <font>
      <b/>
      <sz val="10"/>
      <color theme="0" tint="-0.499984740745262"/>
      <name val="Arial"/>
      <charset val="0"/>
    </font>
    <font>
      <b/>
      <u val="single"/>
      <sz val="8"/>
      <color theme="0" tint="-0.499984740745262"/>
      <name val="Arial"/>
      <charset val="0"/>
    </font>
    <font>
      <b/>
      <i/>
      <sz val="9"/>
      <color rgb="FFC00000"/>
      <name val="Arial"/>
      <charset val="0"/>
    </font>
    <font>
      <b/>
      <i/>
      <sz val="9"/>
      <color theme="0"/>
      <name val="Arial"/>
      <charset val="0"/>
    </font>
    <font>
      <b/>
      <i/>
      <sz val="9"/>
      <color theme="0" tint="-0.0499893185216834"/>
      <name val="Arial"/>
      <charset val="0"/>
    </font>
    <font>
      <b/>
      <i/>
      <sz val="9"/>
      <name val="Arial"/>
      <charset val="0"/>
    </font>
    <font>
      <sz val="9"/>
      <color rgb="FFC00000"/>
      <name val="Arial"/>
      <charset val="0"/>
    </font>
    <font>
      <i/>
      <sz val="9"/>
      <color rgb="FFC00000"/>
      <name val="Arial"/>
      <charset val="0"/>
    </font>
    <font>
      <b/>
      <sz val="9"/>
      <color theme="0" tint="-0.0499893185216834"/>
      <name val="Arial"/>
      <charset val="0"/>
    </font>
    <font>
      <sz val="9"/>
      <color theme="0" tint="-0.0499893185216834"/>
      <name val="Arial"/>
      <charset val="0"/>
    </font>
    <font>
      <u val="single"/>
      <sz val="9"/>
      <color theme="10"/>
      <name val="Arial"/>
      <charset val="0"/>
    </font>
    <font>
      <sz val="11"/>
      <color theme="0" tint="-0.499984740745262"/>
      <name val="Arial"/>
      <charset val="0"/>
    </font>
    <font>
      <sz val="8"/>
      <color rgb="FFC00000"/>
      <name val="Arial"/>
      <charset val="0"/>
    </font>
    <font>
      <sz val="10"/>
      <color theme="1"/>
      <name val="Calibri"/>
      <charset val="0"/>
    </font>
    <font>
      <sz val="9"/>
      <color rgb="FF333333"/>
      <name val="Arial"/>
      <charset val="0"/>
    </font>
    <font>
      <b/>
      <sz val="10"/>
      <color rgb="FF000000"/>
      <name val="Arial"/>
      <charset val="0"/>
    </font>
    <font>
      <sz val="10"/>
      <color rgb="FF000000"/>
      <name val="Arial"/>
      <charset val="0"/>
    </font>
    <font>
      <sz val="11"/>
      <color rgb="FF000000"/>
      <name val="+mn-lt"/>
      <charset val="0"/>
    </font>
    <font>
      <sz val="11"/>
      <color indexed="8"/>
      <name val="Calibri"/>
      <charset val="0"/>
    </font>
    <font>
      <sz val="9"/>
      <color indexed="8"/>
      <name val="Arial"/>
      <charset val="0"/>
    </font>
    <font>
      <b/>
      <u val="single"/>
      <sz val="10"/>
      <color rgb="FFFFFFFF"/>
      <name val="Arial"/>
      <charset val="0"/>
    </font>
    <font>
      <b/>
      <sz val="10"/>
      <color rgb="FFFFFFFF"/>
      <name val="Arial"/>
      <charset val="0"/>
    </font>
  </fonts>
  <fills count="13">
    <fill>
      <patternFill patternType="none">
        <fgColor indexed="64"/>
        <bgColor indexed="65"/>
      </patternFill>
    </fill>
    <fill>
      <patternFill patternType="gray125">
        <fgColor indexed="64"/>
        <bgColor indexed="65"/>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C00000"/>
        <bgColor indexed="64"/>
      </patternFill>
    </fill>
    <fill>
      <patternFill patternType="solid">
        <fgColor rgb="FFFF0000"/>
        <bgColor indexed="64"/>
      </patternFill>
    </fill>
    <fill>
      <patternFill patternType="solid">
        <fgColor theme="4" tint="0.59999389629810485"/>
        <bgColor indexed="64"/>
      </patternFill>
    </fill>
    <fill>
      <patternFill patternType="solid">
        <fgColor rgb="FFF2F2F2"/>
        <bgColor indexed="65"/>
      </patternFill>
    </fill>
    <fill>
      <patternFill patternType="solid">
        <fgColor theme="0" tint="-0.14999847407452621"/>
        <bgColor indexed="64"/>
      </patternFill>
    </fill>
    <fill>
      <patternFill patternType="solid">
        <fgColor theme="3" tint="0.79998168889431442"/>
        <bgColor indexed="64"/>
      </patternFill>
    </fill>
  </fills>
  <borders count="104">
    <border>
      <left/>
      <right/>
      <top/>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theme="0" tint="-0.249977111117893"/>
      </bottom>
      <diagonal/>
    </border>
    <border>
      <left style="medium">
        <color indexed="64"/>
      </left>
      <right/>
      <top style="thin">
        <color theme="0" tint="-0.249977111117893"/>
      </top>
      <bottom style="thin">
        <color theme="0" tint="-0.249977111117893"/>
      </bottom>
      <diagonal/>
    </border>
    <border>
      <left style="medium">
        <color indexed="64"/>
      </left>
      <right/>
      <top style="thin">
        <color theme="0" tint="-0.249977111117893"/>
      </top>
      <bottom/>
      <diagonal/>
    </border>
    <border>
      <left style="thin">
        <color indexed="64"/>
      </left>
      <right style="thin">
        <color indexed="64"/>
      </right>
      <top style="thin">
        <color indexed="64"/>
      </top>
      <bottom style="thin">
        <color theme="0" tint="-0.249977111117893"/>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theme="0" tint="-0.249977111117893"/>
      </bottom>
      <diagonal/>
    </border>
    <border>
      <left/>
      <right/>
      <top style="thin">
        <color indexed="64"/>
      </top>
      <bottom style="thin">
        <color theme="0" tint="-0.249977111117893"/>
      </bottom>
      <diagonal/>
    </border>
    <border>
      <left style="thin">
        <color indexed="64"/>
      </left>
      <right style="thin">
        <color indexed="64"/>
      </right>
      <top/>
      <bottom style="thin">
        <color theme="0" tint="-0.249977111117893"/>
      </bottom>
      <diagonal/>
    </border>
    <border>
      <left/>
      <right/>
      <top style="thin">
        <color theme="0" tint="-0.249977111117893"/>
      </top>
      <bottom style="thin">
        <color theme="0" tint="-0.249977111117893"/>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theme="1"/>
      </left>
      <right style="medium">
        <color theme="1"/>
      </right>
      <top style="medium">
        <color theme="1"/>
      </top>
      <bottom/>
      <diagonal/>
    </border>
    <border>
      <left style="medium">
        <color theme="1"/>
      </left>
      <right style="medium">
        <color theme="1"/>
      </right>
      <top/>
      <bottom style="medium">
        <color theme="1"/>
      </bottom>
      <diagonal/>
    </border>
    <border>
      <left style="thin">
        <color indexed="64"/>
      </left>
      <right/>
      <top style="thin">
        <color theme="0" tint="-0.249977111117893"/>
      </top>
      <bottom style="thin">
        <color theme="0" tint="-0.249977111117893"/>
      </bottom>
      <diagonal/>
    </border>
    <border>
      <left style="thin">
        <color indexed="64"/>
      </left>
      <right style="medium">
        <color indexed="64"/>
      </right>
      <top style="thin">
        <color indexed="64"/>
      </top>
      <bottom style="thin">
        <color theme="0" tint="-0.249977111117893"/>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double">
        <color indexed="64"/>
      </bottom>
      <diagonal/>
    </border>
    <border>
      <left style="thin">
        <color indexed="64"/>
      </left>
      <right style="thin">
        <color indexed="64"/>
      </right>
      <top style="thin">
        <color theme="1"/>
      </top>
      <bottom style="thin">
        <color indexed="64"/>
      </bottom>
      <diagonal/>
    </border>
    <border>
      <left/>
      <right/>
      <top/>
      <bottom style="medium">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theme="1"/>
      </left>
      <right/>
      <top/>
      <bottom style="thin">
        <color indexed="64"/>
      </bottom>
      <diagonal/>
    </border>
    <border>
      <left/>
      <right style="thin">
        <color theme="1"/>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theme="1"/>
      </right>
      <top style="thin">
        <color theme="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theme="1"/>
      </left>
      <right/>
      <top style="thin">
        <color theme="1"/>
      </top>
      <bottom style="thin">
        <color indexed="64"/>
      </bottom>
      <diagonal/>
    </border>
    <border>
      <left/>
      <right style="thin">
        <color theme="1"/>
      </right>
      <top style="thin">
        <color theme="1"/>
      </top>
      <bottom style="thin">
        <color indexed="64"/>
      </bottom>
      <diagonal/>
    </border>
    <border>
      <left style="thin">
        <color indexed="64"/>
      </left>
      <right style="thin">
        <color indexed="64"/>
      </right>
      <top style="thin">
        <color theme="0" tint="-0.249977111117893"/>
      </top>
      <bottom/>
      <diagonal/>
    </border>
    <border>
      <left style="thin">
        <color indexed="64"/>
      </left>
      <right/>
      <top style="thin">
        <color theme="0" tint="-0.249977111117893"/>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theme="0" tint="-0.249977111117893"/>
      </top>
      <bottom/>
      <diagonal/>
    </border>
    <border>
      <left/>
      <right style="medium">
        <color indexed="64"/>
      </right>
      <top style="thin">
        <color indexed="64"/>
      </top>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theme="0" tint="-0.249977111117893"/>
      </bottom>
      <diagonal/>
    </border>
    <border>
      <left style="thin">
        <color indexed="64"/>
      </left>
      <right style="medium">
        <color indexed="64"/>
      </right>
      <top style="thin">
        <color theme="0" tint="-0.249977111117893"/>
      </top>
      <bottom style="thin">
        <color theme="0" tint="-0.249977111117893"/>
      </bottom>
      <diagonal/>
    </border>
    <border>
      <left style="thin">
        <color indexed="64"/>
      </left>
      <right style="medium">
        <color indexed="64"/>
      </right>
      <top/>
      <bottom style="thin">
        <color indexed="64"/>
      </bottom>
      <diagonal/>
    </border>
    <border>
      <left style="thin">
        <color indexed="64"/>
      </left>
      <right style="medium">
        <color indexed="64"/>
      </right>
      <top style="thin">
        <color theme="0" tint="-0.249977111117893"/>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s>
  <cellStyleXfs count="626">
    <xf numFmtId="0" fontId="0" fillId="0" borderId="0"/>
    <xf numFmtId="0" fontId="9" fillId="0" borderId="0" applyAlignment="0" applyBorder="0" applyNumberFormat="0" applyFill="0" applyProtection="0">
      <alignment vertical="top"/>
      <protection locked="0"/>
    </xf>
    <xf numFmtId="43" fontId="0" fillId="0" borderId="0" applyAlignment="0" applyBorder="0" applyFont="0" applyFill="0" applyProtection="0"/>
  </cellStyleXfs>
  <cellXfs>
    <xf numFmtId="0" fontId="0" fillId="0" borderId="0" xfId="0"/>
    <xf numFmtId="0" fontId="7" fillId="0" borderId="0" xfId="0" applyBorder="1" applyFont="1" applyFill="1"/>
    <xf numFmtId="0" fontId="11" fillId="0" borderId="1" xfId="1" applyAlignment="1" applyBorder="1" applyFont="1" applyProtection="1">
      <alignment vertical="top" wrapText="1"/>
    </xf>
    <xf numFmtId="0" fontId="10" fillId="0" borderId="0" xfId="0" applyAlignment="1" applyFont="1" applyProtection="1">
      <alignment vertical="top"/>
      <protection locked="0"/>
    </xf>
    <xf numFmtId="0" fontId="0" fillId="0" borderId="0" xfId="0" applyAlignment="1">
      <alignment vertical="top"/>
    </xf>
    <xf numFmtId="0" fontId="10" fillId="0" borderId="0" xfId="0" applyAlignment="1" applyFont="1" applyProtection="1">
      <alignment horizontal="left" vertical="top"/>
      <protection locked="0"/>
    </xf>
    <xf numFmtId="0" fontId="10" fillId="0" borderId="0" xfId="0" applyAlignment="1" applyFont="1" applyFill="1" applyProtection="1">
      <alignment vertical="top"/>
      <protection locked="0"/>
    </xf>
    <xf numFmtId="0" fontId="6" fillId="2" borderId="2" xfId="0" applyAlignment="1" applyBorder="1" applyFont="1" applyFill="1">
      <alignment horizontal="right" vertical="top"/>
    </xf>
    <xf numFmtId="0" fontId="6" fillId="2" borderId="3" xfId="0" applyAlignment="1" applyBorder="1" applyFont="1" applyFill="1">
      <alignment horizontal="right" vertical="top"/>
    </xf>
    <xf numFmtId="0" fontId="7" fillId="3" borderId="4" xfId="0" applyAlignment="1" applyBorder="1" applyFont="1" applyFill="1">
      <alignment vertical="top"/>
    </xf>
    <xf numFmtId="0" fontId="7" fillId="3" borderId="5" xfId="0" applyAlignment="1" applyBorder="1" applyFont="1" applyFill="1">
      <alignment vertical="top"/>
    </xf>
    <xf numFmtId="0" fontId="7" fillId="3" borderId="6" xfId="0" applyAlignment="1" applyBorder="1" applyFont="1" applyFill="1">
      <alignment vertical="top"/>
    </xf>
    <xf numFmtId="0" fontId="7" fillId="4" borderId="7" xfId="0" applyAlignment="1" applyBorder="1" applyFont="1" applyFill="1">
      <alignment vertical="top"/>
    </xf>
    <xf numFmtId="0" fontId="7" fillId="4" borderId="8" xfId="0" applyAlignment="1" applyBorder="1" applyFont="1" applyFill="1">
      <alignment vertical="top"/>
    </xf>
    <xf numFmtId="0" fontId="7" fillId="4" borderId="9" xfId="0" applyAlignment="1" applyBorder="1" applyFont="1" applyFill="1">
      <alignment vertical="top"/>
    </xf>
    <xf numFmtId="0" fontId="7" fillId="0" borderId="7" xfId="0" applyAlignment="1" applyBorder="1" applyFont="1" applyFill="1">
      <alignment vertical="top"/>
    </xf>
    <xf numFmtId="164" fontId="7" fillId="0" borderId="10" xfId="0" applyAlignment="1" applyBorder="1" applyFont="1" applyNumberFormat="1" applyFill="1">
      <alignment vertical="top"/>
    </xf>
    <xf numFmtId="0" fontId="7" fillId="0" borderId="8" xfId="0" applyAlignment="1" applyBorder="1" applyFont="1" applyFill="1">
      <alignment vertical="top"/>
    </xf>
    <xf numFmtId="0" fontId="7" fillId="4" borderId="11" xfId="0" applyAlignment="1" applyBorder="1" applyFont="1" applyFill="1">
      <alignment vertical="top"/>
    </xf>
    <xf numFmtId="0" fontId="7" fillId="3" borderId="12" xfId="0" applyAlignment="1" applyBorder="1" applyFont="1" applyFill="1">
      <alignment vertical="top"/>
    </xf>
    <xf numFmtId="0" fontId="7" fillId="3" borderId="0" xfId="0" applyAlignment="1" applyBorder="1" applyFont="1" applyFill="1">
      <alignment vertical="top"/>
    </xf>
    <xf numFmtId="0" fontId="7" fillId="3" borderId="13" xfId="0" applyAlignment="1" applyBorder="1" applyFont="1" applyFill="1">
      <alignment vertical="top"/>
    </xf>
    <xf numFmtId="165" fontId="7" fillId="0" borderId="14" xfId="0" applyAlignment="1" applyBorder="1" applyFont="1" applyNumberFormat="1" applyFill="1">
      <alignment vertical="top"/>
    </xf>
    <xf numFmtId="164" fontId="7" fillId="0" borderId="15" xfId="0" applyAlignment="1" applyBorder="1" applyFont="1" applyNumberFormat="1" applyFill="1">
      <alignment vertical="top"/>
    </xf>
    <xf numFmtId="165" fontId="7" fillId="0" borderId="16" xfId="0" applyAlignment="1" applyBorder="1" applyFont="1" applyNumberFormat="1" applyFill="1">
      <alignment vertical="top"/>
    </xf>
    <xf numFmtId="164" fontId="7" fillId="0" borderId="17" xfId="0" applyAlignment="1" applyBorder="1" applyFont="1" applyNumberFormat="1" applyFill="1">
      <alignment vertical="top"/>
    </xf>
    <xf numFmtId="165" fontId="7" fillId="0" borderId="13" xfId="0" applyAlignment="1" applyBorder="1" applyFont="1" applyNumberFormat="1" applyFill="1">
      <alignment vertical="top"/>
    </xf>
    <xf numFmtId="0" fontId="7" fillId="0" borderId="12" xfId="0" applyAlignment="1" applyBorder="1" applyFont="1" applyFill="1">
      <alignment vertical="top"/>
    </xf>
    <xf numFmtId="0" fontId="0" fillId="0" borderId="0" xfId="0" applyAlignment="1" applyBorder="1" applyFill="1">
      <alignment vertical="top"/>
    </xf>
    <xf numFmtId="0" fontId="1" fillId="0" borderId="0" xfId="0" applyAlignment="1" applyBorder="1" applyFont="1" applyFill="1">
      <alignment horizontal="right" vertical="top"/>
    </xf>
    <xf numFmtId="164" fontId="2" fillId="0" borderId="0" xfId="0" applyAlignment="1" applyBorder="1" applyFont="1" applyNumberFormat="1" applyFill="1">
      <alignment vertical="top"/>
    </xf>
    <xf numFmtId="0" fontId="0" fillId="0" borderId="0" xfId="0" applyAlignment="1" applyFill="1">
      <alignment vertical="top"/>
    </xf>
    <xf numFmtId="0" fontId="3" fillId="0" borderId="0" xfId="0" applyAlignment="1" applyFont="1" applyFill="1">
      <alignment vertical="top"/>
    </xf>
    <xf numFmtId="0" fontId="13" fillId="0" borderId="0" xfId="0" applyAlignment="1" applyBorder="1" applyFont="1" applyFill="1" applyProtection="1">
      <alignment horizontal="left" vertical="top"/>
      <protection locked="0"/>
    </xf>
    <xf numFmtId="0" fontId="7" fillId="0" borderId="0" xfId="0" applyAlignment="1" applyFont="1" applyFill="1">
      <alignment vertical="top"/>
    </xf>
    <xf numFmtId="165" fontId="7" fillId="0" borderId="0" xfId="0" applyAlignment="1" applyBorder="1" applyFont="1" applyNumberFormat="1" applyFill="1">
      <alignment vertical="top"/>
    </xf>
    <xf numFmtId="0" fontId="15" fillId="0" borderId="0" xfId="0" applyAlignment="1" applyBorder="1" applyFont="1" applyFill="1" applyProtection="1">
      <alignment horizontal="left" vertical="top"/>
      <protection locked="0"/>
    </xf>
    <xf numFmtId="0" fontId="18" fillId="0" borderId="0" xfId="0" applyAlignment="1" applyBorder="1" applyFont="1" applyFill="1" applyProtection="1">
      <alignment horizontal="left" vertical="top"/>
      <protection locked="0"/>
    </xf>
    <xf numFmtId="0" fontId="12" fillId="0" borderId="0" xfId="0" applyAlignment="1" applyBorder="1" applyFont="1" applyFill="1" applyProtection="1">
      <alignment horizontal="left" vertical="top"/>
      <protection locked="0"/>
    </xf>
    <xf numFmtId="165" fontId="13" fillId="0" borderId="18" xfId="0" applyAlignment="1" applyBorder="1" applyFont="1" applyNumberFormat="1" applyFill="1" applyProtection="1">
      <alignment horizontal="right" vertical="top"/>
    </xf>
    <xf numFmtId="0" fontId="21" fillId="0" borderId="0" xfId="0" applyFont="1"/>
    <xf numFmtId="0" fontId="22" fillId="0" borderId="0" xfId="0" applyFont="1" applyProtection="1"/>
    <xf numFmtId="0" fontId="22" fillId="0" borderId="0" xfId="0" applyFont="1"/>
    <xf numFmtId="0" fontId="24" fillId="0" borderId="0" xfId="0" applyFont="1" applyProtection="1"/>
    <xf numFmtId="0" fontId="24" fillId="0" borderId="0" xfId="0" applyFont="1"/>
    <xf numFmtId="166" fontId="24" fillId="0" borderId="0" xfId="0" applyFont="1" applyNumberFormat="1" applyProtection="1"/>
    <xf numFmtId="167" fontId="24" fillId="0" borderId="0" xfId="0" applyFont="1" applyNumberFormat="1" applyProtection="1"/>
    <xf numFmtId="0" fontId="24" fillId="0" borderId="0" xfId="0" applyAlignment="1" applyFont="1" applyProtection="1">
      <alignment horizontal="right"/>
    </xf>
    <xf numFmtId="0" fontId="23" fillId="0" borderId="0" xfId="0" applyFont="1" applyProtection="1"/>
    <xf numFmtId="0" fontId="24" fillId="0" borderId="0" xfId="0" applyAlignment="1" applyFont="1" applyProtection="1">
      <alignment horizontal="left"/>
    </xf>
    <xf numFmtId="43" fontId="24" fillId="0" borderId="0" xfId="0" applyFont="1" applyNumberFormat="1" applyProtection="1"/>
    <xf numFmtId="2" fontId="24" fillId="0" borderId="0" xfId="0" applyFont="1" applyNumberFormat="1" applyProtection="1"/>
    <xf numFmtId="2" fontId="24" fillId="0" borderId="0" xfId="0" applyFont="1" applyNumberFormat="1"/>
    <xf numFmtId="168" fontId="24" fillId="0" borderId="0" xfId="0" applyFont="1" applyNumberFormat="1" applyProtection="1"/>
    <xf numFmtId="3" fontId="22" fillId="0" borderId="0" xfId="0" applyAlignment="1" applyFont="1" applyNumberFormat="1" applyFill="1" applyProtection="1">
      <alignment horizontal="center"/>
    </xf>
    <xf numFmtId="43" fontId="22" fillId="0" borderId="0" xfId="2" applyAlignment="1" applyBorder="1" applyFont="1" applyNumberFormat="1" applyFill="1" applyProtection="1"/>
    <xf numFmtId="3" fontId="22" fillId="0" borderId="0" xfId="2" applyAlignment="1" applyFont="1" applyNumberFormat="1" applyProtection="1">
      <alignment horizontal="center"/>
    </xf>
    <xf numFmtId="165" fontId="24" fillId="0" borderId="0" xfId="0" applyFont="1" applyNumberFormat="1" applyProtection="1"/>
    <xf numFmtId="43" fontId="24" fillId="0" borderId="0" xfId="2" applyAlignment="1" applyFont="1" applyNumberFormat="1" applyProtection="1"/>
    <xf numFmtId="165" fontId="24" fillId="0" borderId="0" xfId="2" applyAlignment="1" applyFont="1" applyNumberFormat="1" applyProtection="1"/>
    <xf numFmtId="0" fontId="24" fillId="0" borderId="0" xfId="0" applyAlignment="1" applyFont="1" applyProtection="1"/>
    <xf numFmtId="165" fontId="22" fillId="0" borderId="0" xfId="0" applyFont="1" applyNumberFormat="1" applyProtection="1"/>
    <xf numFmtId="165" fontId="22" fillId="0" borderId="0" xfId="2" applyAlignment="1" applyBorder="1" applyFont="1" applyNumberFormat="1" applyProtection="1"/>
    <xf numFmtId="165" fontId="24" fillId="0" borderId="0" xfId="0" applyBorder="1" applyFont="1" applyNumberFormat="1" applyProtection="1"/>
    <xf numFmtId="0" fontId="24" fillId="0" borderId="0" xfId="0" applyBorder="1" applyFont="1" applyProtection="1"/>
    <xf numFmtId="4" fontId="24" fillId="0" borderId="0" xfId="0" applyBorder="1" applyFont="1" applyNumberFormat="1" applyProtection="1"/>
    <xf numFmtId="0" fontId="22" fillId="0" borderId="0" xfId="0" applyAlignment="1" applyFont="1" applyProtection="1">
      <alignment horizontal="center"/>
    </xf>
    <xf numFmtId="0" fontId="22" fillId="0" borderId="0" xfId="0" applyAlignment="1" applyFont="1">
      <alignment horizontal="center"/>
    </xf>
    <xf numFmtId="0" fontId="22" fillId="0" borderId="0" xfId="0" applyAlignment="1" applyFont="1" applyProtection="1">
      <alignment horizontal="left"/>
    </xf>
    <xf numFmtId="165" fontId="22" fillId="0" borderId="0" xfId="0" applyAlignment="1" applyFont="1" applyNumberFormat="1" applyProtection="1">
      <alignment horizontal="center" vertical="center" wrapText="1"/>
    </xf>
    <xf numFmtId="0" fontId="22" fillId="0" borderId="0" xfId="0" applyAlignment="1" applyFont="1" applyProtection="1">
      <alignment horizontal="center" vertical="center" wrapText="1"/>
    </xf>
    <xf numFmtId="165" fontId="24" fillId="0" borderId="0" xfId="2" applyAlignment="1" applyFont="1" applyNumberFormat="1" applyProtection="1">
      <alignment horizontal="right"/>
    </xf>
    <xf numFmtId="166" fontId="24" fillId="0" borderId="0" xfId="0" applyAlignment="1" applyFont="1" applyNumberFormat="1" applyProtection="1">
      <alignment horizontal="center"/>
    </xf>
    <xf numFmtId="4" fontId="24" fillId="0" borderId="0" xfId="0" applyFont="1" applyNumberFormat="1"/>
    <xf numFmtId="165" fontId="24" fillId="0" borderId="19" xfId="2" applyAlignment="1" applyBorder="1" applyFont="1" applyNumberFormat="1" applyProtection="1">
      <alignment horizontal="right"/>
    </xf>
    <xf numFmtId="165" fontId="22" fillId="0" borderId="19" xfId="0" applyAlignment="1" applyBorder="1" applyFont="1" applyNumberFormat="1" applyProtection="1">
      <alignment horizontal="center"/>
    </xf>
    <xf numFmtId="4" fontId="24" fillId="0" borderId="0" xfId="0" applyFont="1" applyNumberFormat="1" applyProtection="1"/>
    <xf numFmtId="165" fontId="24" fillId="0" borderId="0" xfId="0" applyFont="1" applyNumberFormat="1"/>
    <xf numFmtId="165" fontId="7" fillId="3" borderId="6" xfId="0" applyAlignment="1" applyBorder="1" applyFont="1" applyNumberFormat="1" applyFill="1">
      <alignment vertical="top"/>
    </xf>
    <xf numFmtId="0" fontId="7" fillId="0" borderId="0" xfId="0" applyAlignment="1" applyBorder="1" applyFont="1" applyFill="1">
      <alignment vertical="top"/>
    </xf>
    <xf numFmtId="0" fontId="26" fillId="0" borderId="0" xfId="0" applyAlignment="1" applyBorder="1" applyFont="1" applyFill="1">
      <alignment vertical="top"/>
    </xf>
    <xf numFmtId="0" fontId="3" fillId="0" borderId="0" xfId="0" applyFont="1"/>
    <xf numFmtId="0" fontId="27" fillId="0" borderId="0" xfId="0" applyFont="1"/>
    <xf numFmtId="0" fontId="28" fillId="0" borderId="0" xfId="0" applyFont="1" applyFill="1"/>
    <xf numFmtId="0" fontId="31" fillId="0" borderId="0" xfId="0" applyFont="1" applyFill="1" applyProtection="1"/>
    <xf numFmtId="0" fontId="28" fillId="0" borderId="0" xfId="0" applyFont="1" applyFill="1" applyProtection="1"/>
    <xf numFmtId="14" fontId="28" fillId="0" borderId="0" xfId="0" applyAlignment="1" applyFont="1" applyNumberFormat="1" applyFill="1" applyProtection="1">
      <alignment horizontal="center"/>
    </xf>
    <xf numFmtId="166" fontId="28" fillId="0" borderId="0" xfId="0" applyFont="1" applyNumberFormat="1" applyFill="1" applyProtection="1"/>
    <xf numFmtId="0" fontId="0" fillId="5" borderId="0" xfId="0" applyAlignment="1" applyFill="1">
      <alignment vertical="top"/>
    </xf>
    <xf numFmtId="0" fontId="7" fillId="5" borderId="0" xfId="0" applyAlignment="1" applyBorder="1" applyFont="1" applyFill="1">
      <alignment vertical="top"/>
    </xf>
    <xf numFmtId="0" fontId="7" fillId="5" borderId="0" xfId="0" applyAlignment="1" applyFont="1" applyFill="1">
      <alignment vertical="top"/>
    </xf>
    <xf numFmtId="0" fontId="13" fillId="5" borderId="0" xfId="0" applyAlignment="1" applyBorder="1" applyFont="1" applyFill="1" applyProtection="1">
      <alignment horizontal="left" vertical="top"/>
      <protection locked="0"/>
    </xf>
    <xf numFmtId="0" fontId="15" fillId="5" borderId="0" xfId="0" applyAlignment="1" applyBorder="1" applyFont="1" applyFill="1" applyProtection="1">
      <alignment horizontal="left" vertical="top"/>
      <protection locked="0"/>
    </xf>
    <xf numFmtId="0" fontId="12" fillId="5" borderId="0" xfId="0" applyAlignment="1" applyBorder="1" applyFont="1" applyFill="1" applyProtection="1">
      <alignment horizontal="left" vertical="top"/>
      <protection locked="0"/>
    </xf>
    <xf numFmtId="0" fontId="7" fillId="4" borderId="12" xfId="0" applyAlignment="1" applyBorder="1" applyFont="1" applyFill="1">
      <alignment vertical="top"/>
    </xf>
    <xf numFmtId="0" fontId="6" fillId="2" borderId="20" xfId="0" applyAlignment="1" applyBorder="1" applyFont="1" applyFill="1">
      <alignment vertical="top"/>
    </xf>
    <xf numFmtId="165" fontId="15" fillId="0" borderId="21" xfId="0" applyAlignment="1" applyBorder="1" applyFont="1" applyNumberFormat="1" applyFill="1" applyProtection="1">
      <alignment horizontal="right" vertical="top"/>
    </xf>
    <xf numFmtId="0" fontId="7" fillId="3" borderId="22" xfId="0" applyAlignment="1" applyBorder="1" applyFont="1" applyFill="1">
      <alignment vertical="top"/>
    </xf>
    <xf numFmtId="164" fontId="7" fillId="0" borderId="23" xfId="0" applyAlignment="1" applyBorder="1" applyFont="1" applyNumberFormat="1" applyFill="1">
      <alignment vertical="top"/>
    </xf>
    <xf numFmtId="164" fontId="7" fillId="0" borderId="24" xfId="0" applyAlignment="1" applyBorder="1" applyFont="1" applyNumberFormat="1" applyFill="1">
      <alignment vertical="top"/>
    </xf>
    <xf numFmtId="3" fontId="7" fillId="0" borderId="25" xfId="0" applyAlignment="1" applyBorder="1" applyFont="1" applyNumberFormat="1" applyFill="1">
      <alignment vertical="top"/>
    </xf>
    <xf numFmtId="164" fontId="7" fillId="0" borderId="26" xfId="0" applyAlignment="1" applyBorder="1" applyFont="1" applyNumberFormat="1" applyFill="1">
      <alignment vertical="top"/>
    </xf>
    <xf numFmtId="0" fontId="28" fillId="0" borderId="0" xfId="0" applyBorder="1" applyFont="1" applyFill="1" applyProtection="1"/>
    <xf numFmtId="0" fontId="32" fillId="0" borderId="0" xfId="0" applyAlignment="1" applyBorder="1" applyFont="1" applyFill="1">
      <alignment vertical="top"/>
    </xf>
    <xf numFmtId="3" fontId="7" fillId="0" borderId="26" xfId="0" applyAlignment="1" applyBorder="1" applyFont="1" applyNumberFormat="1" applyFill="1">
      <alignment vertical="top"/>
    </xf>
    <xf numFmtId="0" fontId="3" fillId="0" borderId="0" xfId="0" applyAlignment="1" applyBorder="1" applyFont="1" applyFill="1">
      <alignment vertical="top"/>
    </xf>
    <xf numFmtId="0" fontId="3" fillId="0" borderId="0" xfId="0" applyAlignment="1" applyFont="1">
      <alignment vertical="top"/>
    </xf>
    <xf numFmtId="0" fontId="35" fillId="0" borderId="0" xfId="0" applyAlignment="1" applyBorder="1" applyFont="1" applyProtection="1">
      <alignment horizontal="left" vertical="top"/>
      <protection locked="0"/>
    </xf>
    <xf numFmtId="165" fontId="28" fillId="0" borderId="0" xfId="0" applyAlignment="1" applyBorder="1" applyFont="1" applyNumberFormat="1" applyFill="1">
      <alignment vertical="top"/>
    </xf>
    <xf numFmtId="0" fontId="36" fillId="0" borderId="0" xfId="0" applyAlignment="1" applyBorder="1" applyFont="1">
      <alignment horizontal="center" vertical="top" wrapText="1"/>
    </xf>
    <xf numFmtId="164" fontId="37" fillId="0" borderId="0" xfId="0" applyAlignment="1" applyBorder="1" applyFont="1" applyNumberFormat="1" applyFill="1" applyProtection="1">
      <alignment horizontal="left" vertical="top" wrapText="1"/>
      <protection locked="0"/>
    </xf>
    <xf numFmtId="0" fontId="0" fillId="6" borderId="0" xfId="0" applyAlignment="1" applyFill="1">
      <alignment vertical="top" wrapText="1"/>
    </xf>
    <xf numFmtId="0" fontId="0" fillId="6" borderId="0" xfId="0" applyAlignment="1" applyFill="1">
      <alignment vertical="top"/>
    </xf>
    <xf numFmtId="0" fontId="10" fillId="6" borderId="0" xfId="0" applyAlignment="1" applyFont="1" applyFill="1" applyProtection="1">
      <alignment vertical="top"/>
      <protection locked="0"/>
    </xf>
    <xf numFmtId="0" fontId="10" fillId="6" borderId="0" xfId="0" applyAlignment="1" applyFont="1" applyFill="1" applyProtection="1">
      <alignment horizontal="left" vertical="top"/>
      <protection locked="0"/>
    </xf>
    <xf numFmtId="0" fontId="0" fillId="6" borderId="0" xfId="0" applyFill="1"/>
    <xf numFmtId="0" fontId="20" fillId="6" borderId="0" xfId="0" applyFont="1" applyFill="1"/>
    <xf numFmtId="0" fontId="20" fillId="6" borderId="0" xfId="0" applyAlignment="1" applyFont="1" applyFill="1" applyProtection="1">
      <alignment vertical="top"/>
      <protection locked="0"/>
    </xf>
    <xf numFmtId="0" fontId="41" fillId="6" borderId="0" xfId="0" applyAlignment="1" applyBorder="1" applyFont="1" applyFill="1">
      <alignment horizontal="left" vertical="top"/>
    </xf>
    <xf numFmtId="0" fontId="19" fillId="6" borderId="0" xfId="0" applyAlignment="1" applyBorder="1" applyFont="1" applyFill="1">
      <alignment horizontal="center" vertical="top"/>
    </xf>
    <xf numFmtId="0" fontId="36" fillId="0" borderId="0" xfId="0" applyAlignment="1" applyBorder="1" applyFont="1">
      <alignment horizontal="left" vertical="top" wrapText="1"/>
    </xf>
    <xf numFmtId="164" fontId="37" fillId="0" borderId="0" xfId="0" applyAlignment="1" applyBorder="1" applyFont="1" applyNumberFormat="1" applyFill="1" applyProtection="1">
      <alignment horizontal="left" vertical="top"/>
      <protection locked="0"/>
    </xf>
    <xf numFmtId="0" fontId="37" fillId="0" borderId="27" xfId="0" applyAlignment="1" applyBorder="1" applyFont="1" applyFill="1" applyProtection="1">
      <alignment vertical="top" wrapText="1"/>
    </xf>
    <xf numFmtId="0" fontId="39" fillId="0" borderId="28" xfId="0" applyAlignment="1" applyBorder="1" applyFont="1" applyProtection="1">
      <alignment vertical="top" wrapText="1"/>
    </xf>
    <xf numFmtId="164" fontId="37" fillId="0" borderId="27" xfId="0" applyAlignment="1" applyBorder="1" applyFont="1" applyNumberFormat="1" applyFill="1" applyProtection="1">
      <alignment horizontal="left" vertical="top" wrapText="1"/>
    </xf>
    <xf numFmtId="164" fontId="27" fillId="0" borderId="28" xfId="0" applyAlignment="1" applyBorder="1" applyFont="1" applyNumberFormat="1" applyFill="1" applyProtection="1">
      <alignment horizontal="left" vertical="top" wrapText="1"/>
    </xf>
    <xf numFmtId="0" fontId="37" fillId="0" borderId="28" xfId="0" applyAlignment="1" applyBorder="1" applyFont="1" applyProtection="1">
      <alignment vertical="top" wrapText="1"/>
    </xf>
    <xf numFmtId="164" fontId="40" fillId="0" borderId="28" xfId="0" applyAlignment="1" applyBorder="1" applyFont="1" applyNumberFormat="1" applyFill="1" applyProtection="1">
      <alignment horizontal="center" vertical="top" wrapText="1"/>
    </xf>
    <xf numFmtId="164" fontId="36" fillId="0" borderId="28" xfId="0" applyAlignment="1" applyBorder="1" applyFont="1" applyNumberFormat="1" applyFill="1" applyProtection="1">
      <alignment horizontal="center" vertical="top" wrapText="1"/>
    </xf>
    <xf numFmtId="0" fontId="37" fillId="0" borderId="29" xfId="0" applyAlignment="1" applyBorder="1" applyFont="1" applyFill="1" applyProtection="1">
      <alignment vertical="top" wrapText="1"/>
    </xf>
    <xf numFmtId="0" fontId="39" fillId="0" borderId="30" xfId="0" applyAlignment="1" applyBorder="1" applyFont="1" applyProtection="1">
      <alignment vertical="top" wrapText="1"/>
    </xf>
    <xf numFmtId="164" fontId="38" fillId="7" borderId="31" xfId="0" applyAlignment="1" applyBorder="1" applyFont="1" applyNumberFormat="1" applyFill="1" applyProtection="1">
      <alignment horizontal="left" vertical="top" wrapText="1"/>
      <protection locked="0"/>
    </xf>
    <xf numFmtId="164" fontId="38" fillId="7" borderId="32" xfId="0" applyAlignment="1" applyBorder="1" applyFont="1" applyNumberFormat="1" applyFill="1" applyProtection="1">
      <alignment horizontal="left" vertical="top" wrapText="1"/>
      <protection locked="0"/>
    </xf>
    <xf numFmtId="164" fontId="38" fillId="7" borderId="33" xfId="0" applyAlignment="1" applyBorder="1" applyFont="1" applyNumberFormat="1" applyFill="1" applyProtection="1">
      <alignment horizontal="left" vertical="top" wrapText="1"/>
      <protection locked="0"/>
    </xf>
    <xf numFmtId="164" fontId="38" fillId="7" borderId="31" xfId="0" applyAlignment="1" applyBorder="1" applyFont="1" applyNumberFormat="1" applyFill="1" applyProtection="1">
      <alignment horizontal="left" vertical="top" wrapText="1"/>
    </xf>
    <xf numFmtId="164" fontId="38" fillId="7" borderId="32" xfId="0" applyAlignment="1" applyBorder="1" applyFont="1" applyNumberFormat="1" applyFill="1" applyProtection="1">
      <alignment horizontal="center" vertical="top" wrapText="1"/>
      <protection locked="0"/>
    </xf>
    <xf numFmtId="164" fontId="38" fillId="7" borderId="33" xfId="0" applyAlignment="1" applyBorder="1" applyFont="1" applyNumberFormat="1" applyFill="1" applyProtection="1">
      <alignment horizontal="center" vertical="top" wrapText="1"/>
      <protection locked="0"/>
    </xf>
    <xf numFmtId="164" fontId="38" fillId="7" borderId="31" xfId="0" applyAlignment="1" applyBorder="1" applyFont="1" applyNumberFormat="1" applyFill="1" applyProtection="1">
      <alignment vertical="top" wrapText="1"/>
    </xf>
    <xf numFmtId="164" fontId="38" fillId="7" borderId="32" xfId="0" applyAlignment="1" applyBorder="1" applyFont="1" applyNumberFormat="1" applyFill="1" applyProtection="1">
      <alignment vertical="top" wrapText="1"/>
      <protection locked="0"/>
    </xf>
    <xf numFmtId="164" fontId="38" fillId="7" borderId="33" xfId="0" applyAlignment="1" applyBorder="1" applyFont="1" applyNumberFormat="1" applyFill="1" applyProtection="1">
      <alignment vertical="top" wrapText="1"/>
    </xf>
    <xf numFmtId="0" fontId="43" fillId="0" borderId="0" xfId="0" applyAlignment="1" applyFont="1" applyProtection="1">
      <alignment vertical="top"/>
      <protection locked="0"/>
    </xf>
    <xf numFmtId="0" fontId="43" fillId="0" borderId="0" xfId="0" applyAlignment="1" applyFont="1" applyFill="1" applyProtection="1">
      <alignment vertical="top"/>
      <protection locked="0"/>
    </xf>
    <xf numFmtId="0" fontId="38" fillId="7" borderId="34" xfId="0" applyAlignment="1" applyBorder="1" applyFont="1" applyFill="1">
      <alignment vertical="top" wrapText="1"/>
    </xf>
    <xf numFmtId="0" fontId="37" fillId="0" borderId="1" xfId="0" applyAlignment="1" applyBorder="1" applyFont="1">
      <alignment vertical="top" wrapText="1"/>
    </xf>
    <xf numFmtId="0" fontId="36" fillId="0" borderId="1" xfId="0" applyAlignment="1" applyBorder="1" applyFont="1">
      <alignment horizontal="left" vertical="top" wrapText="1"/>
    </xf>
    <xf numFmtId="0" fontId="36" fillId="0" borderId="1" xfId="0" applyAlignment="1" applyBorder="1" applyFont="1">
      <alignment vertical="top" wrapText="1"/>
    </xf>
    <xf numFmtId="0" fontId="37" fillId="0" borderId="35" xfId="0" applyAlignment="1" applyBorder="1" applyFont="1">
      <alignment vertical="top" wrapText="1"/>
    </xf>
    <xf numFmtId="0" fontId="37" fillId="0" borderId="0" xfId="0" applyAlignment="1" applyFont="1">
      <alignment vertical="top" wrapText="1"/>
    </xf>
    <xf numFmtId="0" fontId="37" fillId="0" borderId="0" xfId="0" applyAlignment="1" applyFont="1" applyNumberFormat="1">
      <alignment horizontal="left" vertical="top" wrapText="1"/>
    </xf>
    <xf numFmtId="0" fontId="11" fillId="0" borderId="1" xfId="1" applyAlignment="1" applyBorder="1" applyFont="1" applyProtection="1">
      <alignment horizontal="left" vertical="top" wrapText="1"/>
    </xf>
    <xf numFmtId="0" fontId="38" fillId="7" borderId="36" xfId="0" applyAlignment="1" applyBorder="1" applyFont="1" applyFill="1">
      <alignment vertical="top" wrapText="1"/>
    </xf>
    <xf numFmtId="0" fontId="37" fillId="0" borderId="37" xfId="0" applyAlignment="1" applyBorder="1" applyFont="1" applyNumberFormat="1">
      <alignment horizontal="left" vertical="top" wrapText="1"/>
    </xf>
    <xf numFmtId="0" fontId="37" fillId="0" borderId="0" xfId="0" applyAlignment="1" applyBorder="1" applyFont="1">
      <alignment horizontal="left" vertical="top"/>
    </xf>
    <xf numFmtId="0" fontId="17" fillId="0" borderId="0" xfId="0" applyAlignment="1" applyBorder="1" applyFont="1" applyFill="1" applyProtection="1">
      <alignment horizontal="left" vertical="top"/>
      <protection locked="0"/>
    </xf>
    <xf numFmtId="164" fontId="7" fillId="0" borderId="38" xfId="0" applyAlignment="1" applyBorder="1" applyFont="1" applyNumberFormat="1" applyFill="1">
      <alignment vertical="top"/>
    </xf>
    <xf numFmtId="165" fontId="7" fillId="0" borderId="39" xfId="0" applyAlignment="1" applyBorder="1" applyFont="1" applyNumberFormat="1" applyFill="1">
      <alignment vertical="top"/>
    </xf>
    <xf numFmtId="164" fontId="7" fillId="0" borderId="40" xfId="0" applyAlignment="1" applyBorder="1" applyFont="1" applyNumberFormat="1" applyFill="1">
      <alignment vertical="top"/>
    </xf>
    <xf numFmtId="3" fontId="7" fillId="0" borderId="40" xfId="0" applyAlignment="1" applyBorder="1" applyFont="1" applyNumberFormat="1" applyFill="1">
      <alignment vertical="top"/>
    </xf>
    <xf numFmtId="164" fontId="7" fillId="0" borderId="41" xfId="0" applyAlignment="1" applyBorder="1" applyFont="1" applyNumberFormat="1" applyFill="1">
      <alignment vertical="top"/>
    </xf>
    <xf numFmtId="165" fontId="7" fillId="0" borderId="42" xfId="0" applyAlignment="1" applyBorder="1" applyFont="1" applyNumberFormat="1" applyFill="1">
      <alignment vertical="top"/>
    </xf>
    <xf numFmtId="164" fontId="7" fillId="0" borderId="0" xfId="0" applyAlignment="1" applyBorder="1" applyFont="1" applyNumberFormat="1" applyFill="1">
      <alignment vertical="top"/>
    </xf>
    <xf numFmtId="0" fontId="37" fillId="0" borderId="0" xfId="0" applyFont="1" applyProtection="1">
      <protection hidden="1"/>
    </xf>
    <xf numFmtId="0" fontId="25" fillId="0" borderId="0" xfId="0" applyFont="1" applyProtection="1">
      <protection hidden="1"/>
    </xf>
    <xf numFmtId="0" fontId="46" fillId="8" borderId="0" xfId="0" applyFont="1" applyFill="1" applyProtection="1">
      <protection hidden="1"/>
    </xf>
    <xf numFmtId="0" fontId="42" fillId="0" borderId="0" xfId="0" applyFont="1" applyProtection="1">
      <protection hidden="1"/>
    </xf>
    <xf numFmtId="0" fontId="30" fillId="0" borderId="0" xfId="0" applyFont="1" applyProtection="1">
      <protection hidden="1"/>
    </xf>
    <xf numFmtId="0" fontId="47" fillId="0" borderId="0" xfId="0" applyFont="1" applyProtection="1">
      <protection hidden="1"/>
    </xf>
    <xf numFmtId="0" fontId="48" fillId="5" borderId="0" xfId="0" applyAlignment="1" applyFont="1" applyFill="1">
      <alignment vertical="center"/>
    </xf>
    <xf numFmtId="0" fontId="45" fillId="0" borderId="0" xfId="0" applyFont="1" applyFill="1" applyProtection="1">
      <protection hidden="1"/>
    </xf>
    <xf numFmtId="0" fontId="45" fillId="0" borderId="0" xfId="0" applyFont="1" applyFill="1"/>
    <xf numFmtId="0" fontId="36" fillId="0" borderId="43" xfId="0" applyAlignment="1" applyBorder="1" applyFont="1">
      <alignment horizontal="left"/>
    </xf>
    <xf numFmtId="0" fontId="37" fillId="0" borderId="0" xfId="0" applyFont="1" applyNumberFormat="1" applyProtection="1">
      <protection hidden="1"/>
    </xf>
    <xf numFmtId="170" fontId="36" fillId="0" borderId="43" xfId="0" applyAlignment="1" applyBorder="1" applyFont="1" applyNumberFormat="1" applyProtection="1">
      <alignment horizontal="left"/>
      <protection hidden="1"/>
    </xf>
    <xf numFmtId="0" fontId="37" fillId="0" borderId="0" xfId="0" applyAlignment="1" applyFont="1" applyProtection="1">
      <alignment horizontal="left" vertical="top"/>
      <protection hidden="1"/>
    </xf>
    <xf numFmtId="0" fontId="36" fillId="0" borderId="43" xfId="0" applyAlignment="1" applyBorder="1" applyFont="1" applyNumberFormat="1" applyProtection="1">
      <alignment horizontal="left" vertical="top"/>
      <protection hidden="1"/>
    </xf>
    <xf numFmtId="165" fontId="36" fillId="0" borderId="43" xfId="0" applyAlignment="1" applyBorder="1" applyFont="1" applyNumberFormat="1" applyProtection="1">
      <alignment horizontal="left" vertical="top"/>
      <protection hidden="1"/>
    </xf>
    <xf numFmtId="0" fontId="37" fillId="0" borderId="0" xfId="0" applyAlignment="1" applyFont="1" applyNumberFormat="1" applyProtection="1">
      <alignment horizontal="left" vertical="top"/>
      <protection hidden="1"/>
    </xf>
    <xf numFmtId="0" fontId="49" fillId="0" borderId="0" xfId="0" applyFont="1" applyProtection="1"/>
    <xf numFmtId="0" fontId="50" fillId="0" borderId="0" xfId="0" applyFont="1" applyProtection="1"/>
    <xf numFmtId="0" fontId="51" fillId="0" borderId="0" xfId="0" applyFont="1" applyProtection="1"/>
    <xf numFmtId="14" fontId="49" fillId="0" borderId="0" xfId="0" applyAlignment="1" applyFont="1" applyNumberFormat="1" applyProtection="1">
      <alignment horizontal="center"/>
    </xf>
    <xf numFmtId="166" fontId="49" fillId="0" borderId="0" xfId="0" applyFont="1" applyNumberFormat="1" applyProtection="1"/>
    <xf numFmtId="0" fontId="32" fillId="0" borderId="0" xfId="0" applyBorder="1" applyFont="1"/>
    <xf numFmtId="0" fontId="29" fillId="0" borderId="0" xfId="0" applyBorder="1" applyFont="1"/>
    <xf numFmtId="0" fontId="28" fillId="0" borderId="0" xfId="0" applyBorder="1" applyFont="1" applyFill="1"/>
    <xf numFmtId="0" fontId="29" fillId="0" borderId="0" xfId="0" applyAlignment="1" applyBorder="1" applyFont="1" applyProtection="1">
      <alignment vertical="top"/>
    </xf>
    <xf numFmtId="0" fontId="3" fillId="0" borderId="0" xfId="0" applyAlignment="1" applyBorder="1" applyFont="1">
      <alignment vertical="top"/>
    </xf>
    <xf numFmtId="0" fontId="28" fillId="0" borderId="0" xfId="0" applyAlignment="1" applyBorder="1" applyFont="1" applyFill="1">
      <alignment vertical="top"/>
    </xf>
    <xf numFmtId="0" fontId="28" fillId="0" borderId="0" xfId="0" applyAlignment="1" applyBorder="1" applyFont="1" applyFill="1" applyProtection="1">
      <alignment vertical="top"/>
    </xf>
    <xf numFmtId="0" fontId="28" fillId="0" borderId="0" xfId="0" applyAlignment="1" applyBorder="1" applyFont="1">
      <alignment vertical="top"/>
    </xf>
    <xf numFmtId="0" fontId="28" fillId="0" borderId="0" xfId="0" applyAlignment="1" applyBorder="1" applyFont="1" applyProtection="1">
      <alignment horizontal="center" vertical="top"/>
    </xf>
    <xf numFmtId="167" fontId="29" fillId="0" borderId="0" xfId="0" applyAlignment="1" applyBorder="1" applyFont="1" applyNumberFormat="1" applyProtection="1">
      <alignment horizontal="right" vertical="top"/>
    </xf>
    <xf numFmtId="0" fontId="29" fillId="0" borderId="0" xfId="0" applyAlignment="1" applyBorder="1" applyFont="1" applyProtection="1">
      <alignment horizontal="right" vertical="top"/>
    </xf>
    <xf numFmtId="167" fontId="29" fillId="0" borderId="0" xfId="0" applyAlignment="1" applyBorder="1" applyFont="1" applyNumberFormat="1" applyProtection="1">
      <alignment vertical="top"/>
    </xf>
    <xf numFmtId="0" fontId="24" fillId="0" borderId="0" xfId="0" applyAlignment="1" applyBorder="1" applyFont="1" applyProtection="1">
      <alignment vertical="top"/>
    </xf>
    <xf numFmtId="0" fontId="24" fillId="0" borderId="0" xfId="0" applyAlignment="1" applyBorder="1" applyFont="1" applyProtection="1">
      <alignment horizontal="right"/>
    </xf>
    <xf numFmtId="167" fontId="24" fillId="0" borderId="0" xfId="0" applyBorder="1" applyFont="1" applyNumberFormat="1" applyProtection="1"/>
    <xf numFmtId="0" fontId="24" fillId="0" borderId="0" xfId="0" applyAlignment="1" applyBorder="1" applyFont="1" applyProtection="1">
      <alignment horizontal="left"/>
    </xf>
    <xf numFmtId="0" fontId="28" fillId="6" borderId="44" xfId="0" applyAlignment="1" applyBorder="1" applyFont="1" applyFill="1">
      <alignment vertical="top"/>
    </xf>
    <xf numFmtId="165" fontId="28" fillId="0" borderId="45" xfId="0" applyAlignment="1" applyBorder="1" applyFont="1" applyNumberFormat="1">
      <alignment vertical="top"/>
    </xf>
    <xf numFmtId="165" fontId="28" fillId="0" borderId="46" xfId="0" applyAlignment="1" applyBorder="1" applyFont="1" applyNumberFormat="1" applyFill="1">
      <alignment vertical="top"/>
    </xf>
    <xf numFmtId="165" fontId="28" fillId="6" borderId="47" xfId="0" applyAlignment="1" applyBorder="1" applyFont="1" applyNumberFormat="1" applyFill="1">
      <alignment vertical="top"/>
    </xf>
    <xf numFmtId="165" fontId="28" fillId="0" borderId="48" xfId="0" applyAlignment="1" applyBorder="1" applyFont="1" applyNumberFormat="1" applyFill="1">
      <alignment vertical="top"/>
    </xf>
    <xf numFmtId="0" fontId="28" fillId="0" borderId="46" xfId="0" applyAlignment="1" applyBorder="1" applyFont="1" applyProtection="1">
      <alignment vertical="top"/>
    </xf>
    <xf numFmtId="0" fontId="33" fillId="0" borderId="46" xfId="0" applyAlignment="1" applyBorder="1" applyFont="1" applyProtection="1">
      <alignment vertical="top"/>
    </xf>
    <xf numFmtId="0" fontId="34" fillId="0" borderId="46" xfId="0" applyAlignment="1" applyBorder="1" applyFont="1" applyProtection="1">
      <alignment horizontal="center" vertical="top"/>
    </xf>
    <xf numFmtId="165" fontId="28" fillId="0" borderId="45" xfId="0" applyAlignment="1" applyBorder="1" applyFont="1" applyNumberFormat="1" applyFill="1">
      <alignment vertical="top"/>
    </xf>
    <xf numFmtId="165" fontId="28" fillId="0" borderId="48" xfId="0" applyAlignment="1" applyBorder="1" applyFont="1" applyNumberFormat="1">
      <alignment vertical="top"/>
    </xf>
    <xf numFmtId="0" fontId="7" fillId="5" borderId="0" xfId="0" applyAlignment="1" applyBorder="1" applyFont="1" applyFill="1">
      <alignment horizontal="left" vertical="center"/>
    </xf>
    <xf numFmtId="0" fontId="6" fillId="2" borderId="49" xfId="0" applyAlignment="1" applyBorder="1" applyFont="1" applyFill="1">
      <alignment horizontal="left" vertical="center"/>
    </xf>
    <xf numFmtId="0" fontId="36" fillId="3" borderId="43" xfId="0" applyAlignment="1" applyBorder="1" applyFont="1" applyFill="1" applyProtection="1">
      <alignment horizontal="left" vertical="top" wrapText="1"/>
      <protection hidden="1"/>
    </xf>
    <xf numFmtId="0" fontId="36" fillId="3" borderId="43" xfId="0" applyAlignment="1" applyBorder="1" applyFont="1" applyFill="1" applyProtection="1">
      <alignment horizontal="left" vertical="top"/>
      <protection hidden="1"/>
    </xf>
    <xf numFmtId="0" fontId="36" fillId="3" borderId="50" xfId="0" applyAlignment="1" applyBorder="1" applyFont="1" applyFill="1" applyProtection="1">
      <alignment horizontal="left" vertical="top" wrapText="1"/>
      <protection hidden="1"/>
    </xf>
    <xf numFmtId="170" fontId="36" fillId="3" borderId="43" xfId="0" applyAlignment="1" applyBorder="1" applyFont="1" applyNumberFormat="1" applyFill="1" applyProtection="1">
      <alignment horizontal="left" vertical="top"/>
      <protection hidden="1"/>
    </xf>
    <xf numFmtId="165" fontId="36" fillId="0" borderId="43" xfId="0" applyAlignment="1" applyBorder="1" applyFont="1" applyNumberFormat="1" applyFill="1" applyProtection="1">
      <alignment horizontal="left" vertical="top"/>
      <protection hidden="1"/>
    </xf>
    <xf numFmtId="170" fontId="36" fillId="3" borderId="51" xfId="0" applyAlignment="1" applyBorder="1" applyFont="1" applyNumberFormat="1" applyFill="1" applyProtection="1">
      <alignment horizontal="left" vertical="top"/>
      <protection hidden="1"/>
    </xf>
    <xf numFmtId="165" fontId="36" fillId="0" borderId="51" xfId="0" applyAlignment="1" applyBorder="1" applyFont="1" applyNumberFormat="1" applyFill="1" applyProtection="1">
      <alignment horizontal="left" vertical="top"/>
      <protection hidden="1"/>
    </xf>
    <xf numFmtId="0" fontId="36" fillId="3" borderId="52" xfId="0" applyAlignment="1" applyBorder="1" applyFont="1" applyFill="1" applyProtection="1">
      <alignment horizontal="left" vertical="top"/>
      <protection hidden="1"/>
    </xf>
    <xf numFmtId="165" fontId="36" fillId="0" borderId="53" xfId="0" applyAlignment="1" applyBorder="1" applyFont="1" applyNumberFormat="1" applyProtection="1">
      <alignment horizontal="left" vertical="top"/>
      <protection hidden="1"/>
    </xf>
    <xf numFmtId="0" fontId="37" fillId="0" borderId="0" xfId="0" applyAlignment="1" applyFont="1" applyFill="1" applyProtection="1">
      <alignment horizontal="left" vertical="top"/>
      <protection hidden="1"/>
    </xf>
    <xf numFmtId="0" fontId="6" fillId="0" borderId="0" xfId="0" applyAlignment="1" applyBorder="1" applyFont="1" applyFill="1">
      <alignment vertical="top"/>
    </xf>
    <xf numFmtId="0" fontId="13" fillId="0" borderId="0" xfId="0" applyAlignment="1" applyBorder="1" applyFont="1" applyFill="1">
      <alignment vertical="top"/>
    </xf>
    <xf numFmtId="0" fontId="13" fillId="0" borderId="0" xfId="0" applyAlignment="1" applyBorder="1" applyFont="1" applyFill="1">
      <alignment horizontal="center" vertical="top"/>
    </xf>
    <xf numFmtId="0" fontId="37" fillId="0" borderId="0" xfId="0" applyFont="1" applyFill="1"/>
    <xf numFmtId="0" fontId="0" fillId="0" borderId="0" xfId="0" applyFill="1"/>
    <xf numFmtId="0" fontId="13" fillId="0" borderId="0" xfId="0" applyAlignment="1" applyBorder="1" applyFont="1" applyFill="1">
      <alignment horizontal="left" vertical="center"/>
    </xf>
    <xf numFmtId="0" fontId="36" fillId="0" borderId="0" xfId="0" applyAlignment="1" applyBorder="1" applyFont="1" applyFill="1">
      <alignment horizontal="left"/>
    </xf>
    <xf numFmtId="0" fontId="37" fillId="0" borderId="0" xfId="0" applyAlignment="1" applyFont="1" applyFill="1">
      <alignment horizontal="left" vertical="top"/>
    </xf>
    <xf numFmtId="169" fontId="37" fillId="0" borderId="0" xfId="0" applyAlignment="1" applyFont="1" applyNumberFormat="1" applyFill="1" applyProtection="1">
      <alignment horizontal="left" vertical="top"/>
      <protection hidden="1"/>
    </xf>
    <xf numFmtId="0" fontId="37" fillId="9" borderId="0" xfId="0" applyAlignment="1" applyBorder="1" applyFont="1" applyFill="1" applyProtection="1">
      <alignment horizontal="center" vertical="top" wrapText="1"/>
      <protection locked="0"/>
    </xf>
    <xf numFmtId="164" fontId="37" fillId="9" borderId="0" xfId="0" applyAlignment="1" applyBorder="1" applyFont="1" applyNumberFormat="1" applyFill="1" applyProtection="1">
      <alignment horizontal="center" vertical="top" wrapText="1"/>
      <protection locked="0"/>
    </xf>
    <xf numFmtId="0" fontId="37" fillId="9" borderId="54" xfId="0" applyAlignment="1" applyBorder="1" applyFont="1" applyFill="1" applyProtection="1">
      <alignment horizontal="center" vertical="top" wrapText="1"/>
      <protection locked="0"/>
    </xf>
    <xf numFmtId="164" fontId="38" fillId="7" borderId="55" xfId="0" applyAlignment="1" applyBorder="1" applyFont="1" applyNumberFormat="1" applyFill="1" applyProtection="1">
      <alignment vertical="top" wrapText="1"/>
    </xf>
    <xf numFmtId="0" fontId="5" fillId="7" borderId="56" xfId="0" applyAlignment="1" applyBorder="1" applyFont="1" applyFill="1" applyProtection="1">
      <alignment vertical="top" wrapText="1"/>
      <protection locked="0"/>
    </xf>
    <xf numFmtId="0" fontId="5" fillId="7" borderId="57" xfId="0" applyAlignment="1" applyBorder="1" applyFont="1" applyFill="1" applyProtection="1">
      <alignment vertical="top" wrapText="1"/>
    </xf>
    <xf numFmtId="164" fontId="38" fillId="7" borderId="56" xfId="0" applyAlignment="1" applyBorder="1" applyFont="1" applyNumberFormat="1" applyFill="1" applyProtection="1">
      <alignment vertical="top" wrapText="1"/>
      <protection locked="0"/>
    </xf>
    <xf numFmtId="164" fontId="38" fillId="7" borderId="57" xfId="0" applyAlignment="1" applyBorder="1" applyFont="1" applyNumberFormat="1" applyFill="1" applyProtection="1">
      <alignment vertical="top" wrapText="1"/>
    </xf>
    <xf numFmtId="0" fontId="52" fillId="0" borderId="1" xfId="1" applyAlignment="1" applyBorder="1" applyFont="1" applyProtection="1">
      <alignment vertical="top" wrapText="1"/>
    </xf>
    <xf numFmtId="0" fontId="0" fillId="0" borderId="0" xfId="0" applyBorder="1"/>
    <xf numFmtId="0" fontId="11" fillId="0" borderId="0" xfId="1" applyAlignment="1" applyBorder="1" applyFont="1" applyProtection="1">
      <alignment horizontal="left" vertical="top" wrapText="1"/>
    </xf>
    <xf numFmtId="0" fontId="2" fillId="0" borderId="0" xfId="0" applyBorder="1" applyFont="1"/>
    <xf numFmtId="0" fontId="6" fillId="2" borderId="58" xfId="0" applyAlignment="1" applyBorder="1" applyFont="1" applyFill="1">
      <alignment horizontal="left" vertical="center"/>
    </xf>
    <xf numFmtId="0" fontId="53" fillId="8" borderId="0" xfId="0" applyAlignment="1" applyFont="1" applyFill="1" applyProtection="1">
      <alignment horizontal="left" vertical="top"/>
      <protection hidden="1"/>
    </xf>
    <xf numFmtId="43" fontId="53" fillId="8" borderId="0" xfId="0" applyAlignment="1" applyFont="1" applyNumberFormat="1" applyFill="1" applyProtection="1">
      <alignment horizontal="left" vertical="top"/>
      <protection hidden="1"/>
    </xf>
    <xf numFmtId="43" fontId="24" fillId="0" borderId="0" xfId="2" applyAlignment="1" applyBorder="1" applyFont="1" applyNumberFormat="1" applyProtection="1"/>
    <xf numFmtId="165" fontId="24" fillId="0" borderId="0" xfId="2" applyAlignment="1" applyBorder="1" applyFont="1" applyNumberFormat="1" applyProtection="1"/>
    <xf numFmtId="0" fontId="24" fillId="0" borderId="0" xfId="0" applyAlignment="1" applyBorder="1" applyFont="1" applyProtection="1"/>
    <xf numFmtId="43" fontId="22" fillId="0" borderId="0" xfId="2" applyAlignment="1" applyBorder="1" applyFont="1" applyNumberFormat="1" applyProtection="1"/>
    <xf numFmtId="0" fontId="22" fillId="0" borderId="0" xfId="0" applyAlignment="1" applyBorder="1" applyFont="1" applyProtection="1"/>
    <xf numFmtId="165" fontId="22" fillId="0" borderId="0" xfId="0" applyAlignment="1" applyBorder="1" applyFont="1" applyNumberFormat="1" applyProtection="1"/>
    <xf numFmtId="165" fontId="24" fillId="0" borderId="0" xfId="0" applyAlignment="1" applyBorder="1" applyFont="1" applyNumberFormat="1" applyProtection="1"/>
    <xf numFmtId="43" fontId="22" fillId="0" borderId="0" xfId="2" applyAlignment="1" applyBorder="1" applyFont="1" applyNumberFormat="1" applyProtection="1">
      <alignment horizontal="center"/>
    </xf>
    <xf numFmtId="165" fontId="24" fillId="0" borderId="0" xfId="0" applyAlignment="1" applyBorder="1" applyFont="1" applyNumberFormat="1" applyProtection="1">
      <alignment horizontal="right"/>
    </xf>
    <xf numFmtId="0" fontId="22" fillId="0" borderId="0" xfId="0" applyAlignment="1" applyBorder="1" applyFont="1" applyProtection="1">
      <alignment horizontal="center"/>
    </xf>
    <xf numFmtId="165" fontId="24" fillId="0" borderId="0" xfId="0" applyAlignment="1" applyBorder="1" applyFont="1" applyNumberFormat="1" applyProtection="1">
      <alignment horizontal="center"/>
    </xf>
    <xf numFmtId="0" fontId="28" fillId="6" borderId="59" xfId="0" applyAlignment="1" applyBorder="1" applyFont="1" applyFill="1">
      <alignment vertical="top"/>
    </xf>
    <xf numFmtId="165" fontId="28" fillId="4" borderId="60" xfId="0" applyAlignment="1" applyBorder="1" applyFont="1" applyNumberFormat="1" applyFill="1">
      <alignment vertical="top"/>
    </xf>
    <xf numFmtId="164" fontId="7" fillId="0" borderId="61" xfId="0" applyAlignment="1" applyBorder="1" applyFont="1" applyNumberFormat="1" applyFill="1">
      <alignment vertical="top"/>
    </xf>
    <xf numFmtId="0" fontId="13" fillId="0" borderId="0" xfId="0" applyAlignment="1" applyBorder="1" applyFont="1" applyFill="1" applyProtection="1">
      <alignment horizontal="left" vertical="top" wrapText="1"/>
      <protection locked="0"/>
    </xf>
    <xf numFmtId="0" fontId="0" fillId="5" borderId="0" xfId="0" applyFill="1"/>
    <xf numFmtId="0" fontId="3" fillId="0" borderId="0" xfId="0" applyFont="1" applyFill="1"/>
    <xf numFmtId="165" fontId="14" fillId="0" borderId="0" xfId="0" applyAlignment="1" applyBorder="1" applyFont="1" applyNumberFormat="1" applyFill="1" applyProtection="1">
      <alignment horizontal="left" vertical="top"/>
    </xf>
    <xf numFmtId="165" fontId="16" fillId="0" borderId="0" xfId="0" applyAlignment="1" applyBorder="1" applyFont="1" applyNumberFormat="1" applyFill="1" applyProtection="1">
      <alignment horizontal="left" vertical="top"/>
      <protection locked="0"/>
    </xf>
    <xf numFmtId="0" fontId="3" fillId="0" borderId="0" xfId="0" applyBorder="1" applyFont="1" applyFill="1"/>
    <xf numFmtId="0" fontId="17" fillId="5" borderId="0" xfId="0" applyAlignment="1" applyBorder="1" applyFont="1" applyFill="1" applyProtection="1">
      <alignment horizontal="left" vertical="top"/>
      <protection locked="0"/>
    </xf>
    <xf numFmtId="0" fontId="13" fillId="5" borderId="0" xfId="0" applyAlignment="1" applyBorder="1" applyFont="1" applyFill="1" applyProtection="1">
      <alignment horizontal="left" vertical="top" wrapText="1"/>
      <protection locked="0"/>
    </xf>
    <xf numFmtId="0" fontId="7" fillId="5" borderId="0" xfId="0" applyFont="1" applyFill="1"/>
    <xf numFmtId="165" fontId="12" fillId="5" borderId="0" xfId="0" applyAlignment="1" applyBorder="1" applyFont="1" applyNumberFormat="1" applyFill="1" applyProtection="1">
      <alignment horizontal="left" vertical="top"/>
      <protection locked="0"/>
    </xf>
    <xf numFmtId="0" fontId="7" fillId="5" borderId="0" xfId="0" applyBorder="1" applyFont="1" applyFill="1"/>
    <xf numFmtId="0" fontId="12" fillId="2" borderId="49" xfId="0" applyAlignment="1" applyBorder="1" applyFont="1" applyFill="1">
      <alignment horizontal="left" vertical="center"/>
    </xf>
    <xf numFmtId="0" fontId="6" fillId="2" borderId="62" xfId="0" applyAlignment="1" applyBorder="1" applyFont="1" applyFill="1">
      <alignment horizontal="left" vertical="center"/>
    </xf>
    <xf numFmtId="0" fontId="6" fillId="2" borderId="63" xfId="0" applyAlignment="1" applyBorder="1" applyFont="1" applyFill="1">
      <alignment horizontal="left" vertical="top"/>
    </xf>
    <xf numFmtId="0" fontId="6" fillId="2" borderId="64" xfId="0" applyAlignment="1" applyBorder="1" applyFont="1" applyFill="1">
      <alignment horizontal="left" vertical="top"/>
    </xf>
    <xf numFmtId="0" fontId="13" fillId="5" borderId="0" xfId="0" applyAlignment="1" applyBorder="1" applyFont="1" applyFill="1">
      <alignment horizontal="left" vertical="center"/>
    </xf>
    <xf numFmtId="165" fontId="18" fillId="7" borderId="65" xfId="0" applyAlignment="1" applyBorder="1" applyFont="1" applyNumberFormat="1" applyFill="1">
      <alignment horizontal="right" vertical="top"/>
    </xf>
    <xf numFmtId="0" fontId="0" fillId="0" borderId="0" xfId="0" applyBorder="1" applyFill="1"/>
    <xf numFmtId="165" fontId="18" fillId="7" borderId="57" xfId="0" applyAlignment="1" applyBorder="1" applyFont="1" applyNumberFormat="1" applyFill="1" applyProtection="1">
      <alignment horizontal="right" vertical="top"/>
    </xf>
    <xf numFmtId="0" fontId="7" fillId="2" borderId="55" xfId="0" applyBorder="1" applyFont="1" applyFill="1"/>
    <xf numFmtId="0" fontId="7" fillId="2" borderId="56" xfId="0" applyBorder="1" applyFont="1" applyFill="1"/>
    <xf numFmtId="0" fontId="7" fillId="2" borderId="57" xfId="0" applyBorder="1" applyFont="1" applyFill="1"/>
    <xf numFmtId="0" fontId="18" fillId="7" borderId="56" xfId="0" applyAlignment="1" applyBorder="1" applyFont="1" applyFill="1">
      <alignment horizontal="left" vertical="top"/>
    </xf>
    <xf numFmtId="164" fontId="6" fillId="2" borderId="55" xfId="0" applyAlignment="1" applyBorder="1" applyFont="1" applyNumberFormat="1" applyFill="1">
      <alignment vertical="top"/>
    </xf>
    <xf numFmtId="165" fontId="6" fillId="2" borderId="65" xfId="0" applyAlignment="1" applyBorder="1" applyFont="1" applyNumberFormat="1" applyFill="1">
      <alignment vertical="top"/>
    </xf>
    <xf numFmtId="165" fontId="7" fillId="5" borderId="0" xfId="0" applyAlignment="1" applyBorder="1" applyFont="1" applyNumberFormat="1" applyFill="1">
      <alignment vertical="top"/>
    </xf>
    <xf numFmtId="0" fontId="18" fillId="7" borderId="55" xfId="0" applyAlignment="1" applyBorder="1" applyFont="1" applyFill="1">
      <alignment vertical="top"/>
    </xf>
    <xf numFmtId="165" fontId="18" fillId="7" borderId="65" xfId="0" applyAlignment="1" applyBorder="1" applyFont="1" applyNumberFormat="1" applyFill="1">
      <alignment vertical="top"/>
    </xf>
    <xf numFmtId="0" fontId="48" fillId="7" borderId="0" xfId="0" applyAlignment="1" applyFont="1" applyFill="1">
      <alignment vertical="center"/>
    </xf>
    <xf numFmtId="0" fontId="28" fillId="0" borderId="46" xfId="0" applyAlignment="1" applyBorder="1" applyFont="1">
      <alignment vertical="top"/>
    </xf>
    <xf numFmtId="0" fontId="26" fillId="0" borderId="66" xfId="0" applyBorder="1" applyFont="1"/>
    <xf numFmtId="0" fontId="26" fillId="0" borderId="46" xfId="0" applyBorder="1" applyFont="1"/>
    <xf numFmtId="0" fontId="26" fillId="0" borderId="0" xfId="0" applyAlignment="1" applyFont="1">
      <alignment vertical="top"/>
    </xf>
    <xf numFmtId="0" fontId="26" fillId="0" borderId="67" xfId="0" applyBorder="1" applyFont="1"/>
    <xf numFmtId="165" fontId="28" fillId="0" borderId="68" xfId="0" applyAlignment="1" applyBorder="1" applyFont="1" applyNumberFormat="1">
      <alignment vertical="top"/>
    </xf>
    <xf numFmtId="0" fontId="26" fillId="0" borderId="69" xfId="0" applyBorder="1" applyFont="1"/>
    <xf numFmtId="165" fontId="28" fillId="0" borderId="68" xfId="0" applyAlignment="1" applyBorder="1" applyFont="1" applyNumberFormat="1" applyFill="1">
      <alignment vertical="top"/>
    </xf>
    <xf numFmtId="165" fontId="28" fillId="6" borderId="70" xfId="0" applyAlignment="1" applyBorder="1" applyFont="1" applyNumberFormat="1" applyFill="1">
      <alignment vertical="top"/>
    </xf>
    <xf numFmtId="0" fontId="28" fillId="0" borderId="69" xfId="0" applyBorder="1" applyFont="1"/>
    <xf numFmtId="0" fontId="28" fillId="6" borderId="71" xfId="0" applyBorder="1" applyFont="1" applyFill="1"/>
    <xf numFmtId="165" fontId="28" fillId="0" borderId="72" xfId="0" applyBorder="1" applyFont="1" applyNumberFormat="1"/>
    <xf numFmtId="0" fontId="28" fillId="6" borderId="73" xfId="0" applyAlignment="1" applyBorder="1" applyFont="1" applyFill="1">
      <alignment vertical="top"/>
    </xf>
    <xf numFmtId="0" fontId="55" fillId="2" borderId="71" xfId="0" applyAlignment="1" applyBorder="1" applyFont="1" applyFill="1">
      <alignment vertical="top"/>
    </xf>
    <xf numFmtId="0" fontId="3" fillId="2" borderId="22" xfId="0" applyAlignment="1" applyBorder="1" applyFont="1" applyFill="1">
      <alignment vertical="top"/>
    </xf>
    <xf numFmtId="0" fontId="0" fillId="2" borderId="22" xfId="0" applyBorder="1" applyFill="1"/>
    <xf numFmtId="0" fontId="0" fillId="2" borderId="67" xfId="0" applyBorder="1" applyFill="1"/>
    <xf numFmtId="170" fontId="30" fillId="2" borderId="43" xfId="0" applyBorder="1" applyFont="1" applyNumberFormat="1" applyFill="1" applyProtection="1"/>
    <xf numFmtId="170" fontId="30" fillId="2" borderId="40" xfId="0" applyBorder="1" applyFont="1" applyNumberFormat="1" applyFill="1" applyProtection="1"/>
    <xf numFmtId="2" fontId="30" fillId="2" borderId="74" xfId="0" applyAlignment="1" applyBorder="1" applyFont="1" applyNumberFormat="1" applyFill="1">
      <alignment vertical="top"/>
    </xf>
    <xf numFmtId="164" fontId="7" fillId="0" borderId="75" xfId="0" applyAlignment="1" applyBorder="1" applyFont="1" applyNumberFormat="1" applyFill="1">
      <alignment vertical="top"/>
    </xf>
    <xf numFmtId="164" fontId="7" fillId="0" borderId="76" xfId="0" applyAlignment="1" applyBorder="1" applyFont="1" applyNumberFormat="1" applyFill="1">
      <alignment vertical="top"/>
    </xf>
    <xf numFmtId="0" fontId="42" fillId="2" borderId="77" xfId="0" applyAlignment="1" applyBorder="1" applyFont="1" applyFill="1">
      <alignment horizontal="left" vertical="top"/>
    </xf>
    <xf numFmtId="0" fontId="42" fillId="2" borderId="78" xfId="0" applyAlignment="1" applyBorder="1" applyFont="1" applyFill="1">
      <alignment horizontal="left" vertical="top"/>
    </xf>
    <xf numFmtId="0" fontId="21" fillId="0" borderId="0" xfId="0" applyAlignment="1" applyBorder="1" applyFont="1">
      <alignment vertical="top" wrapText="1"/>
    </xf>
    <xf numFmtId="0" fontId="26" fillId="2" borderId="43" xfId="0" applyBorder="1" applyFont="1" applyFill="1"/>
    <xf numFmtId="0" fontId="31" fillId="6" borderId="43" xfId="0" applyBorder="1" applyFont="1" applyFill="1"/>
    <xf numFmtId="0" fontId="31" fillId="6" borderId="17" xfId="0" applyBorder="1" applyFont="1" applyFill="1"/>
    <xf numFmtId="0" fontId="31" fillId="6" borderId="61" xfId="0" applyBorder="1" applyFont="1" applyFill="1"/>
    <xf numFmtId="0" fontId="28" fillId="6" borderId="77" xfId="0" applyAlignment="1" applyBorder="1" applyFont="1" applyFill="1">
      <alignment vertical="top" wrapText="1"/>
    </xf>
    <xf numFmtId="0" fontId="26" fillId="2" borderId="78" xfId="0" applyAlignment="1" applyBorder="1" applyFont="1" applyFill="1">
      <alignment vertical="top" wrapText="1"/>
    </xf>
    <xf numFmtId="0" fontId="26" fillId="0" borderId="0" xfId="0" applyAlignment="1" applyBorder="1" applyFont="1" applyFill="1">
      <alignment vertical="top" wrapText="1"/>
    </xf>
    <xf numFmtId="0" fontId="26" fillId="0" borderId="0" xfId="0" applyAlignment="1" applyBorder="1" applyFont="1" applyFill="1">
      <alignment horizontal="left" vertical="top"/>
    </xf>
    <xf numFmtId="0" fontId="31" fillId="0" borderId="0" xfId="0" applyBorder="1" applyFont="1" applyFill="1"/>
    <xf numFmtId="0" fontId="28" fillId="6" borderId="77" xfId="0" applyAlignment="1" applyBorder="1" applyFont="1" applyFill="1">
      <alignment vertical="top"/>
    </xf>
    <xf numFmtId="0" fontId="28" fillId="6" borderId="43" xfId="0" applyAlignment="1" applyBorder="1" applyFont="1" applyFill="1">
      <alignment vertical="top"/>
    </xf>
    <xf numFmtId="170" fontId="26" fillId="2" borderId="61" xfId="0" applyAlignment="1" applyBorder="1" applyFont="1" applyNumberFormat="1" applyFill="1">
      <alignment horizontal="right"/>
    </xf>
    <xf numFmtId="170" fontId="30" fillId="2" borderId="40" xfId="0" applyAlignment="1" applyBorder="1" applyFont="1" applyNumberFormat="1" applyFill="1">
      <alignment horizontal="right"/>
    </xf>
    <xf numFmtId="170" fontId="26" fillId="2" borderId="43" xfId="0" applyAlignment="1" applyBorder="1" applyFont="1" applyNumberFormat="1" applyFill="1">
      <alignment horizontal="right"/>
    </xf>
    <xf numFmtId="170" fontId="30" fillId="2" borderId="43" xfId="0" applyAlignment="1" applyBorder="1" applyFont="1" applyNumberFormat="1" applyFill="1">
      <alignment horizontal="right"/>
    </xf>
    <xf numFmtId="170" fontId="26" fillId="2" borderId="40" xfId="0" applyAlignment="1" applyBorder="1" applyFont="1" applyNumberFormat="1" applyFill="1">
      <alignment horizontal="right"/>
    </xf>
    <xf numFmtId="0" fontId="28" fillId="2" borderId="43" xfId="0" applyAlignment="1" applyBorder="1" applyFont="1" applyFill="1">
      <alignment horizontal="right"/>
    </xf>
    <xf numFmtId="0" fontId="28" fillId="6" borderId="45" xfId="0" applyAlignment="1" applyBorder="1" applyFont="1" applyFill="1">
      <alignment vertical="top"/>
    </xf>
    <xf numFmtId="0" fontId="31" fillId="6" borderId="70" xfId="0" applyBorder="1" applyFont="1" applyFill="1" applyProtection="1"/>
    <xf numFmtId="0" fontId="31" fillId="6" borderId="72" xfId="0" applyBorder="1" applyFont="1" applyFill="1" applyProtection="1"/>
    <xf numFmtId="0" fontId="28" fillId="0" borderId="68" xfId="0" applyAlignment="1" applyBorder="1" applyFont="1" applyProtection="1">
      <alignment horizontal="left"/>
    </xf>
    <xf numFmtId="0" fontId="28" fillId="0" borderId="70" xfId="0" applyAlignment="1" applyBorder="1" applyFont="1" applyProtection="1">
      <alignment horizontal="left"/>
    </xf>
    <xf numFmtId="0" fontId="28" fillId="0" borderId="68" xfId="0" applyAlignment="1" applyBorder="1" applyFont="1" applyFill="1">
      <alignment vertical="top"/>
    </xf>
    <xf numFmtId="165" fontId="28" fillId="0" borderId="69" xfId="0" applyAlignment="1" applyBorder="1" applyFont="1" applyNumberFormat="1" applyFill="1">
      <alignment horizontal="right" vertical="top"/>
    </xf>
    <xf numFmtId="0" fontId="28" fillId="6" borderId="5" xfId="0" applyAlignment="1" applyBorder="1" applyFont="1" applyFill="1">
      <alignment horizontal="right" vertical="top"/>
    </xf>
    <xf numFmtId="165" fontId="28" fillId="6" borderId="78" xfId="0" applyAlignment="1" applyBorder="1" applyFont="1" applyNumberFormat="1" applyFill="1">
      <alignment horizontal="right" vertical="top"/>
    </xf>
    <xf numFmtId="0" fontId="0" fillId="6" borderId="5" xfId="0" applyBorder="1" applyFill="1"/>
    <xf numFmtId="0" fontId="29" fillId="6" borderId="78" xfId="0" applyAlignment="1" applyBorder="1" applyFont="1" applyFill="1" applyProtection="1">
      <alignment horizontal="right" vertical="top"/>
    </xf>
    <xf numFmtId="0" fontId="26" fillId="0" borderId="0" xfId="0" applyFont="1"/>
    <xf numFmtId="0" fontId="26" fillId="0" borderId="0" xfId="0" applyBorder="1" applyFont="1" applyFill="1"/>
    <xf numFmtId="0" fontId="26" fillId="0" borderId="0" xfId="0" applyBorder="1" applyFont="1" applyFill="1" applyProtection="1"/>
    <xf numFmtId="165" fontId="30" fillId="0" borderId="0" xfId="0" applyAlignment="1" applyBorder="1" applyFont="1" applyNumberFormat="1" applyFill="1" applyProtection="1">
      <alignment horizontal="right" vertical="top"/>
    </xf>
    <xf numFmtId="0" fontId="7" fillId="0" borderId="79" xfId="0" applyAlignment="1" applyBorder="1" applyFont="1" applyFill="1">
      <alignment vertical="top"/>
    </xf>
    <xf numFmtId="0" fontId="7" fillId="0" borderId="80" xfId="0" applyAlignment="1" applyBorder="1" applyFont="1" applyFill="1">
      <alignment vertical="top"/>
    </xf>
    <xf numFmtId="0" fontId="7" fillId="0" borderId="81" xfId="0" applyAlignment="1" applyBorder="1" applyFont="1" applyFill="1">
      <alignment vertical="top"/>
    </xf>
    <xf numFmtId="0" fontId="7" fillId="0" borderId="67" xfId="0" applyAlignment="1" applyBorder="1" applyFont="1" applyFill="1">
      <alignment vertical="top"/>
    </xf>
    <xf numFmtId="0" fontId="6" fillId="0" borderId="11" xfId="0" applyAlignment="1" applyBorder="1" applyFont="1" applyFill="1">
      <alignment vertical="top"/>
    </xf>
    <xf numFmtId="0" fontId="6" fillId="0" borderId="72" xfId="0" applyAlignment="1" applyBorder="1" applyFont="1" applyFill="1">
      <alignment vertical="top"/>
    </xf>
    <xf numFmtId="0" fontId="18" fillId="7" borderId="55" xfId="0" applyAlignment="1" applyBorder="1" applyFont="1" applyFill="1" applyProtection="1">
      <alignment horizontal="left" vertical="top"/>
      <protection locked="0"/>
    </xf>
    <xf numFmtId="0" fontId="18" fillId="7" borderId="57" xfId="0" applyAlignment="1" applyBorder="1" applyFont="1" applyFill="1" applyProtection="1">
      <alignment horizontal="left" vertical="top"/>
      <protection locked="0"/>
    </xf>
    <xf numFmtId="0" fontId="18" fillId="7" borderId="55" xfId="0" applyAlignment="1" applyBorder="1" applyFont="1" applyFill="1">
      <alignment horizontal="left" vertical="top"/>
    </xf>
    <xf numFmtId="0" fontId="18" fillId="7" borderId="57" xfId="0" applyAlignment="1" applyBorder="1" applyFont="1" applyFill="1">
      <alignment horizontal="left" vertical="top"/>
    </xf>
    <xf numFmtId="0" fontId="18" fillId="7" borderId="56" xfId="0" applyAlignment="1" applyBorder="1" applyFont="1" applyFill="1" applyProtection="1">
      <alignment horizontal="left" vertical="top"/>
      <protection locked="0"/>
    </xf>
    <xf numFmtId="0" fontId="18" fillId="7" borderId="56" xfId="0" applyAlignment="1" applyBorder="1" applyFont="1" applyFill="1">
      <alignment vertical="top"/>
    </xf>
    <xf numFmtId="0" fontId="6" fillId="0" borderId="12" xfId="0" applyAlignment="1" applyBorder="1" applyFont="1" applyFill="1">
      <alignment vertical="top"/>
    </xf>
    <xf numFmtId="0" fontId="6" fillId="0" borderId="69" xfId="0" applyAlignment="1" applyBorder="1" applyFont="1" applyFill="1">
      <alignment vertical="top"/>
    </xf>
    <xf numFmtId="0" fontId="6" fillId="0" borderId="82" xfId="0" applyAlignment="1" applyBorder="1" applyFont="1" applyFill="1">
      <alignment vertical="top"/>
    </xf>
    <xf numFmtId="0" fontId="6" fillId="0" borderId="83" xfId="0" applyAlignment="1" applyBorder="1" applyFont="1" applyFill="1">
      <alignment vertical="top"/>
    </xf>
    <xf numFmtId="0" fontId="26" fillId="0" borderId="0" xfId="0" applyBorder="1" applyFont="1"/>
    <xf numFmtId="165" fontId="26" fillId="0" borderId="0" xfId="0" applyBorder="1" applyFont="1" applyNumberFormat="1"/>
    <xf numFmtId="0" fontId="58" fillId="0" borderId="0" xfId="0" applyBorder="1" applyFont="1" applyFill="1" applyProtection="1"/>
    <xf numFmtId="0" fontId="26" fillId="3" borderId="41" xfId="0" applyBorder="1" applyFont="1" applyFill="1" applyProtection="1"/>
    <xf numFmtId="0" fontId="26" fillId="3" borderId="41" xfId="0" applyAlignment="1" applyBorder="1" applyFont="1" applyFill="1" applyProtection="1">
      <alignment horizontal="center"/>
    </xf>
    <xf numFmtId="0" fontId="26" fillId="3" borderId="41" xfId="0" applyBorder="1" applyFont="1" applyFill="1"/>
    <xf numFmtId="0" fontId="31" fillId="3" borderId="41" xfId="0" applyBorder="1" applyFont="1" applyFill="1" applyProtection="1"/>
    <xf numFmtId="0" fontId="31" fillId="3" borderId="41" xfId="0" applyAlignment="1" applyBorder="1" applyFont="1" applyFill="1" applyProtection="1">
      <alignment horizontal="center"/>
    </xf>
    <xf numFmtId="0" fontId="31" fillId="3" borderId="41" xfId="0" applyBorder="1" applyFont="1" applyFill="1"/>
    <xf numFmtId="0" fontId="28" fillId="6" borderId="43" xfId="0" applyAlignment="1" applyBorder="1" applyFont="1" applyFill="1">
      <alignment horizontal="right" vertical="top"/>
    </xf>
    <xf numFmtId="0" fontId="56" fillId="6" borderId="78" xfId="0" applyAlignment="1" applyBorder="1" applyFont="1" applyFill="1">
      <alignment horizontal="right"/>
    </xf>
    <xf numFmtId="165" fontId="28" fillId="0" borderId="0" xfId="0" applyAlignment="1" applyBorder="1" applyFont="1" applyNumberFormat="1" applyFill="1">
      <alignment horizontal="right" vertical="top"/>
    </xf>
    <xf numFmtId="0" fontId="0" fillId="0" borderId="0" xfId="0" applyAlignment="1">
      <alignment horizontal="right"/>
    </xf>
    <xf numFmtId="167" fontId="28" fillId="0" borderId="0" xfId="0" applyAlignment="1" applyBorder="1" applyFont="1" applyNumberFormat="1" applyFill="1" applyProtection="1">
      <alignment horizontal="right" vertical="top"/>
    </xf>
    <xf numFmtId="10" fontId="30" fillId="2" borderId="40" xfId="0" applyAlignment="1" applyBorder="1" applyFont="1" applyNumberFormat="1" applyFill="1">
      <alignment horizontal="right" vertical="top"/>
    </xf>
    <xf numFmtId="0" fontId="28" fillId="2" borderId="43" xfId="0" applyAlignment="1" applyBorder="1" applyFont="1" applyFill="1">
      <alignment horizontal="right" vertical="top"/>
    </xf>
    <xf numFmtId="0" fontId="28" fillId="6" borderId="5" xfId="0" applyAlignment="1" applyBorder="1" applyFont="1" applyFill="1" applyProtection="1">
      <alignment horizontal="left" vertical="top"/>
    </xf>
    <xf numFmtId="165" fontId="26" fillId="2" borderId="0" xfId="0" applyBorder="1" applyFont="1" applyNumberFormat="1" applyFill="1"/>
    <xf numFmtId="0" fontId="60" fillId="0" borderId="0" xfId="0" applyFont="1" applyProtection="1"/>
    <xf numFmtId="165" fontId="26" fillId="0" borderId="0" xfId="0" applyFont="1" applyNumberFormat="1"/>
    <xf numFmtId="165" fontId="26" fillId="2" borderId="0" xfId="0" applyFont="1" applyNumberFormat="1" applyFill="1"/>
    <xf numFmtId="165" fontId="26" fillId="0" borderId="0" xfId="0" applyFont="1" applyNumberFormat="1" applyFill="1"/>
    <xf numFmtId="0" fontId="26" fillId="0" borderId="0" xfId="0" applyAlignment="1" applyBorder="1" applyFont="1" applyProtection="1">
      <alignment horizontal="left"/>
    </xf>
    <xf numFmtId="0" fontId="26" fillId="0" borderId="0" xfId="0" applyAlignment="1" applyFont="1" applyProtection="1">
      <alignment horizontal="left"/>
    </xf>
    <xf numFmtId="165" fontId="26" fillId="3" borderId="41" xfId="0" applyBorder="1" applyFont="1" applyNumberFormat="1" applyFill="1"/>
    <xf numFmtId="0" fontId="61" fillId="3" borderId="41" xfId="0" applyBorder="1" applyFont="1" applyFill="1" applyProtection="1"/>
    <xf numFmtId="0" fontId="57" fillId="0" borderId="0" xfId="0" applyAlignment="1" applyFont="1">
      <alignment horizontal="center" vertical="center"/>
    </xf>
    <xf numFmtId="0" fontId="57" fillId="3" borderId="41" xfId="0" applyAlignment="1" applyBorder="1" applyFont="1" applyFill="1" applyProtection="1">
      <alignment horizontal="center" vertical="center"/>
    </xf>
    <xf numFmtId="0" fontId="57" fillId="0" borderId="0" xfId="0" applyAlignment="1" applyBorder="1" applyFont="1" applyFill="1" applyProtection="1">
      <alignment horizontal="center" vertical="center"/>
    </xf>
    <xf numFmtId="0" fontId="57" fillId="0" borderId="0" xfId="0" applyAlignment="1" applyBorder="1" applyFont="1">
      <alignment horizontal="center" vertical="center"/>
    </xf>
    <xf numFmtId="1" fontId="57" fillId="0" borderId="0" xfId="0" applyAlignment="1" applyBorder="1" applyFont="1" applyNumberFormat="1" applyFill="1" applyProtection="1">
      <alignment horizontal="center" vertical="center"/>
    </xf>
    <xf numFmtId="0" fontId="57" fillId="0" borderId="0" xfId="0" applyAlignment="1" applyBorder="1" applyFont="1" applyProtection="1">
      <alignment horizontal="center" vertical="center"/>
    </xf>
    <xf numFmtId="0" fontId="57" fillId="0" borderId="0" xfId="0" applyAlignment="1" applyBorder="1" applyFont="1" applyFill="1">
      <alignment horizontal="center" vertical="center"/>
    </xf>
    <xf numFmtId="0" fontId="2" fillId="0" borderId="0" xfId="0" applyFont="1"/>
    <xf numFmtId="0" fontId="2" fillId="0" borderId="0" xfId="0" applyAlignment="1" applyBorder="1" applyFont="1" applyFill="1">
      <alignment vertical="top"/>
    </xf>
    <xf numFmtId="0" fontId="7" fillId="0" borderId="0" xfId="0" applyFont="1"/>
    <xf numFmtId="0" fontId="63" fillId="0" borderId="0" xfId="0" applyAlignment="1" applyFont="1">
      <alignment vertical="top"/>
    </xf>
    <xf numFmtId="0" fontId="63" fillId="0" borderId="0" xfId="0" applyFont="1"/>
    <xf numFmtId="0" fontId="18" fillId="7" borderId="55" xfId="0" applyBorder="1" applyFont="1" applyFill="1"/>
    <xf numFmtId="0" fontId="18" fillId="7" borderId="84" xfId="0" applyAlignment="1" applyBorder="1" applyFont="1" applyFill="1" applyProtection="1">
      <alignment horizontal="left" vertical="top"/>
      <protection locked="0"/>
    </xf>
    <xf numFmtId="0" fontId="59" fillId="0" borderId="0" xfId="0" applyFont="1"/>
    <xf numFmtId="0" fontId="57" fillId="0" borderId="0" xfId="0" applyBorder="1" applyFont="1" applyFill="1"/>
    <xf numFmtId="0" fontId="62" fillId="0" borderId="0" xfId="0" applyFont="1"/>
    <xf numFmtId="165" fontId="57" fillId="0" borderId="0" xfId="0" applyFont="1" applyNumberFormat="1"/>
    <xf numFmtId="0" fontId="57" fillId="0" borderId="0" xfId="0" applyBorder="1" applyFont="1"/>
    <xf numFmtId="0" fontId="57" fillId="0" borderId="0" xfId="0" applyBorder="1" applyFont="1" applyFill="1" applyProtection="1"/>
    <xf numFmtId="165" fontId="57" fillId="0" borderId="0" xfId="0" applyBorder="1" applyFont="1" applyNumberFormat="1"/>
    <xf numFmtId="0" fontId="30" fillId="0" borderId="0" xfId="0" applyFont="1"/>
    <xf numFmtId="0" fontId="64" fillId="0" borderId="41" xfId="0" applyBorder="1" applyFont="1"/>
    <xf numFmtId="0" fontId="2" fillId="0" borderId="0" xfId="0" applyFont="1" applyFill="1"/>
    <xf numFmtId="0" fontId="2" fillId="0" borderId="41" xfId="0" applyBorder="1" applyFont="1"/>
    <xf numFmtId="0" fontId="2" fillId="0" borderId="22" xfId="0" applyBorder="1" applyFont="1" applyFill="1"/>
    <xf numFmtId="0" fontId="7" fillId="0" borderId="4" xfId="0" applyAlignment="1" applyBorder="1" applyFont="1" applyFill="1">
      <alignment vertical="top"/>
    </xf>
    <xf numFmtId="0" fontId="28" fillId="0" borderId="71" xfId="0" applyBorder="1" applyFont="1" applyProtection="1"/>
    <xf numFmtId="2" fontId="28" fillId="0" borderId="22" xfId="0" applyBorder="1" applyFont="1" applyNumberFormat="1"/>
    <xf numFmtId="168" fontId="28" fillId="0" borderId="67" xfId="0" applyBorder="1" applyFont="1" applyNumberFormat="1" applyProtection="1"/>
    <xf numFmtId="0" fontId="28" fillId="0" borderId="68" xfId="0" applyBorder="1" applyFont="1" applyProtection="1"/>
    <xf numFmtId="2" fontId="28" fillId="0" borderId="0" xfId="0" applyBorder="1" applyFont="1" applyNumberFormat="1"/>
    <xf numFmtId="168" fontId="28" fillId="0" borderId="69" xfId="0" applyBorder="1" applyFont="1" applyNumberFormat="1" applyProtection="1"/>
    <xf numFmtId="167" fontId="65" fillId="0" borderId="71" xfId="0" applyBorder="1" applyFont="1" applyNumberFormat="1" applyProtection="1"/>
    <xf numFmtId="167" fontId="65" fillId="0" borderId="70" xfId="0" applyBorder="1" applyFont="1" applyNumberFormat="1" applyProtection="1"/>
    <xf numFmtId="0" fontId="32" fillId="0" borderId="0" xfId="0" applyFont="1"/>
    <xf numFmtId="165" fontId="28" fillId="0" borderId="0" xfId="0" applyBorder="1" applyFont="1" applyNumberFormat="1" applyProtection="1"/>
    <xf numFmtId="165" fontId="28" fillId="0" borderId="69" xfId="0" applyBorder="1" applyFont="1" applyNumberFormat="1" applyProtection="1"/>
    <xf numFmtId="2" fontId="28" fillId="2" borderId="43" xfId="0" applyBorder="1" applyFont="1" applyNumberFormat="1" applyFill="1" applyProtection="1"/>
    <xf numFmtId="165" fontId="31" fillId="0" borderId="0" xfId="0" applyBorder="1" applyFont="1" applyNumberFormat="1"/>
    <xf numFmtId="165" fontId="66" fillId="0" borderId="0" xfId="0" applyBorder="1" applyFont="1" applyNumberFormat="1" applyProtection="1"/>
    <xf numFmtId="0" fontId="18" fillId="7" borderId="85" xfId="0" applyAlignment="1" applyBorder="1" applyFont="1" applyFill="1" applyProtection="1">
      <alignment horizontal="left" vertical="top"/>
      <protection locked="0"/>
    </xf>
    <xf numFmtId="0" fontId="7" fillId="5" borderId="0" xfId="0" applyAlignment="1" applyBorder="1" applyFont="1" applyNumberFormat="1" applyFill="1">
      <alignment horizontal="left" vertical="top"/>
    </xf>
    <xf numFmtId="0" fontId="18" fillId="7" borderId="82" xfId="0" applyAlignment="1" applyBorder="1" applyFont="1" applyFill="1" applyProtection="1">
      <alignment horizontal="left" vertical="top"/>
      <protection locked="0"/>
    </xf>
    <xf numFmtId="0" fontId="13" fillId="0" borderId="17" xfId="0" applyAlignment="1" applyBorder="1" applyFont="1" applyNumberFormat="1" applyFill="1" applyProtection="1">
      <alignment horizontal="left" vertical="top"/>
      <protection locked="0"/>
    </xf>
    <xf numFmtId="0" fontId="15" fillId="2" borderId="17" xfId="0" applyAlignment="1" applyBorder="1" applyFont="1" applyNumberFormat="1" applyFill="1" applyProtection="1">
      <alignment horizontal="left" vertical="top"/>
      <protection locked="0"/>
    </xf>
    <xf numFmtId="0" fontId="18" fillId="7" borderId="20" xfId="0" applyAlignment="1" applyBorder="1" applyFont="1" applyNumberFormat="1" applyFill="1" applyProtection="1">
      <alignment horizontal="left" vertical="top"/>
      <protection locked="0"/>
    </xf>
    <xf numFmtId="165" fontId="7" fillId="0" borderId="77" xfId="0" applyAlignment="1" applyBorder="1" applyFont="1" applyNumberFormat="1">
      <alignment horizontal="right"/>
    </xf>
    <xf numFmtId="165" fontId="7" fillId="2" borderId="77" xfId="0" applyAlignment="1" applyBorder="1" applyFont="1" applyNumberFormat="1" applyFill="1">
      <alignment horizontal="right"/>
    </xf>
    <xf numFmtId="165" fontId="7" fillId="2" borderId="68" xfId="0" applyAlignment="1" applyBorder="1" applyFont="1" applyNumberFormat="1" applyFill="1">
      <alignment horizontal="right"/>
    </xf>
    <xf numFmtId="165" fontId="18" fillId="7" borderId="2" xfId="0" applyAlignment="1" applyBorder="1" applyFont="1" applyNumberFormat="1" applyFill="1" applyProtection="1">
      <alignment horizontal="right"/>
    </xf>
    <xf numFmtId="165" fontId="7" fillId="8" borderId="86" xfId="0" applyAlignment="1" applyBorder="1" applyFont="1" applyNumberFormat="1" applyFill="1">
      <alignment horizontal="right"/>
    </xf>
    <xf numFmtId="165" fontId="18" fillId="7" borderId="65" xfId="0" applyAlignment="1" applyBorder="1" applyFont="1" applyNumberFormat="1" applyFill="1" applyProtection="1">
      <alignment horizontal="right"/>
    </xf>
    <xf numFmtId="165" fontId="70" fillId="2" borderId="87" xfId="0" applyAlignment="1" applyBorder="1" applyFont="1" applyNumberFormat="1" applyFill="1" applyProtection="1">
      <alignment horizontal="right"/>
    </xf>
    <xf numFmtId="165" fontId="70" fillId="2" borderId="1" xfId="0" applyAlignment="1" applyBorder="1" applyFont="1" applyNumberFormat="1" applyFill="1" applyProtection="1">
      <alignment horizontal="right"/>
    </xf>
    <xf numFmtId="0" fontId="7" fillId="5" borderId="55" xfId="0" applyAlignment="1" applyBorder="1" applyFont="1" applyFill="1">
      <alignment horizontal="left" vertical="top"/>
    </xf>
    <xf numFmtId="0" fontId="7" fillId="0" borderId="0" xfId="0" applyAlignment="1" applyBorder="1" applyFont="1" applyFill="1">
      <alignment horizontal="left" vertical="top"/>
    </xf>
    <xf numFmtId="2" fontId="7" fillId="0" borderId="0" xfId="0" applyBorder="1" applyFont="1" applyNumberFormat="1" applyFill="1"/>
    <xf numFmtId="165" fontId="7" fillId="0" borderId="0" xfId="0" applyAlignment="1" applyBorder="1" applyFont="1" applyNumberFormat="1" applyFill="1">
      <alignment horizontal="right"/>
    </xf>
    <xf numFmtId="0" fontId="18" fillId="0" borderId="0" xfId="0" applyBorder="1" applyFont="1" applyFill="1"/>
    <xf numFmtId="0" fontId="19" fillId="0" borderId="0" xfId="0" applyBorder="1" applyFont="1" applyFill="1"/>
    <xf numFmtId="0" fontId="7" fillId="0" borderId="0" xfId="0" applyAlignment="1" applyBorder="1" applyFont="1" applyFill="1">
      <alignment horizontal="right"/>
    </xf>
    <xf numFmtId="165" fontId="13" fillId="0" borderId="0" xfId="0" applyAlignment="1" applyBorder="1" applyFont="1" applyNumberFormat="1" applyFill="1" applyProtection="1">
      <alignment horizontal="right" vertical="top" wrapText="1"/>
      <protection locked="0"/>
    </xf>
    <xf numFmtId="0" fontId="73" fillId="7" borderId="34" xfId="0" applyAlignment="1" applyBorder="1" applyFont="1" applyNumberFormat="1" applyFill="1">
      <alignment horizontal="left" vertical="top"/>
    </xf>
    <xf numFmtId="0" fontId="74" fillId="7" borderId="84" xfId="0" applyAlignment="1" applyBorder="1" applyFont="1" applyNumberFormat="1" applyFill="1">
      <alignment horizontal="left" vertical="top"/>
    </xf>
    <xf numFmtId="0" fontId="73" fillId="7" borderId="56" xfId="0" applyAlignment="1" applyBorder="1" applyFont="1" applyNumberFormat="1" applyFill="1">
      <alignment horizontal="left" vertical="top"/>
    </xf>
    <xf numFmtId="0" fontId="7" fillId="0" borderId="68" xfId="0" applyAlignment="1" applyBorder="1" applyFont="1" applyNumberFormat="1" applyFill="1">
      <alignment horizontal="left" vertical="top"/>
    </xf>
    <xf numFmtId="0" fontId="73" fillId="7" borderId="55" xfId="0" applyAlignment="1" applyBorder="1" applyFont="1" applyNumberFormat="1" applyFill="1">
      <alignment vertical="top"/>
    </xf>
    <xf numFmtId="165" fontId="71" fillId="7" borderId="35" xfId="0" applyAlignment="1" applyBorder="1" applyFont="1" applyNumberFormat="1" applyFill="1">
      <alignment horizontal="right"/>
    </xf>
    <xf numFmtId="165" fontId="73" fillId="7" borderId="35" xfId="0" applyAlignment="1" applyBorder="1" applyFont="1" applyNumberFormat="1" applyFill="1">
      <alignment horizontal="left"/>
    </xf>
    <xf numFmtId="0" fontId="73" fillId="7" borderId="82" xfId="0" applyAlignment="1" applyBorder="1" applyFont="1" applyNumberFormat="1" applyFill="1" applyProtection="1">
      <alignment horizontal="left" vertical="top"/>
      <protection locked="0"/>
    </xf>
    <xf numFmtId="165" fontId="13" fillId="0" borderId="3" xfId="0" applyAlignment="1" applyBorder="1" applyFont="1" applyNumberFormat="1" applyFill="1" applyProtection="1">
      <alignment horizontal="right" vertical="top"/>
    </xf>
    <xf numFmtId="0" fontId="7" fillId="0" borderId="12" xfId="0" applyAlignment="1" applyBorder="1" applyFont="1" applyFill="1">
      <alignment horizontal="left" vertical="top"/>
    </xf>
    <xf numFmtId="165" fontId="0" fillId="0" borderId="0" xfId="0" applyNumberFormat="1"/>
    <xf numFmtId="0" fontId="52" fillId="10" borderId="35" xfId="1" applyAlignment="1" applyBorder="1" applyFont="1" applyFill="1" applyProtection="1"/>
    <xf numFmtId="0" fontId="7" fillId="3" borderId="41" xfId="0" applyAlignment="1" applyBorder="1" applyFont="1" applyFill="1">
      <alignment vertical="top"/>
    </xf>
    <xf numFmtId="165" fontId="7" fillId="0" borderId="88" xfId="0" applyAlignment="1" applyBorder="1" applyFont="1" applyNumberFormat="1" applyFill="1">
      <alignment vertical="top"/>
    </xf>
    <xf numFmtId="164" fontId="7" fillId="0" borderId="43" xfId="0" applyAlignment="1" applyBorder="1" applyFont="1" applyNumberFormat="1" applyFill="1">
      <alignment vertical="top"/>
    </xf>
    <xf numFmtId="165" fontId="7" fillId="0" borderId="78" xfId="0" applyAlignment="1" applyBorder="1" applyFont="1" applyNumberFormat="1" applyFill="1">
      <alignment vertical="top"/>
    </xf>
    <xf numFmtId="0" fontId="28" fillId="0" borderId="70" xfId="0" applyBorder="1" applyFont="1"/>
    <xf numFmtId="165" fontId="7" fillId="0" borderId="70" xfId="0" applyAlignment="1" applyBorder="1" applyFont="1" applyNumberFormat="1">
      <alignment horizontal="right"/>
    </xf>
    <xf numFmtId="2" fontId="28" fillId="2" borderId="61" xfId="0" applyBorder="1" applyFont="1" applyNumberFormat="1" applyFill="1" applyProtection="1"/>
    <xf numFmtId="10" fontId="30" fillId="2" borderId="61" xfId="0" applyAlignment="1" applyBorder="1" applyFont="1" applyNumberFormat="1" applyFill="1">
      <alignment horizontal="right" vertical="top"/>
    </xf>
    <xf numFmtId="164" fontId="28" fillId="0" borderId="69" xfId="0" applyAlignment="1" applyBorder="1" applyFont="1" applyNumberFormat="1" applyFill="1" applyProtection="1">
      <alignment horizontal="right" vertical="top"/>
    </xf>
    <xf numFmtId="165" fontId="28" fillId="0" borderId="41" xfId="0" applyAlignment="1" applyBorder="1" applyFont="1" applyNumberFormat="1" applyFill="1">
      <alignment horizontal="right" vertical="top"/>
    </xf>
    <xf numFmtId="164" fontId="28" fillId="0" borderId="72" xfId="0" applyAlignment="1" applyBorder="1" applyFont="1" applyNumberFormat="1" applyFill="1" applyProtection="1">
      <alignment horizontal="right" vertical="top"/>
    </xf>
    <xf numFmtId="167" fontId="28" fillId="0" borderId="68" xfId="0" applyAlignment="1" applyBorder="1" applyFont="1" applyNumberFormat="1" applyFill="1" applyProtection="1">
      <alignment vertical="top"/>
    </xf>
    <xf numFmtId="165" fontId="28" fillId="0" borderId="69" xfId="0" applyAlignment="1" applyBorder="1" applyFont="1" applyNumberFormat="1">
      <alignment horizontal="right" vertical="top"/>
    </xf>
    <xf numFmtId="167" fontId="28" fillId="0" borderId="77" xfId="0" applyAlignment="1" applyBorder="1" applyFont="1" applyNumberFormat="1" applyFill="1" applyProtection="1">
      <alignment vertical="top"/>
    </xf>
    <xf numFmtId="165" fontId="28" fillId="0" borderId="78" xfId="0" applyAlignment="1" applyBorder="1" applyFont="1" applyNumberFormat="1" applyFill="1" applyProtection="1">
      <alignment horizontal="right" vertical="top"/>
    </xf>
    <xf numFmtId="167" fontId="28" fillId="6" borderId="71" xfId="0" applyAlignment="1" applyBorder="1" applyFont="1" applyNumberFormat="1" applyFill="1" applyProtection="1">
      <alignment vertical="top"/>
    </xf>
    <xf numFmtId="167" fontId="28" fillId="6" borderId="61" xfId="0" applyAlignment="1" applyBorder="1" applyFont="1" applyNumberFormat="1" applyFill="1" applyProtection="1">
      <alignment horizontal="right" vertical="top"/>
    </xf>
    <xf numFmtId="0" fontId="28" fillId="6" borderId="67" xfId="0" applyAlignment="1" applyBorder="1" applyFont="1" applyFill="1" applyProtection="1">
      <alignment horizontal="right" vertical="top"/>
    </xf>
    <xf numFmtId="167" fontId="28" fillId="0" borderId="70" xfId="0" applyAlignment="1" applyBorder="1" applyFont="1" applyNumberFormat="1" applyFill="1" applyProtection="1">
      <alignment vertical="top"/>
    </xf>
    <xf numFmtId="167" fontId="28" fillId="0" borderId="71" xfId="0" applyAlignment="1" applyBorder="1" applyFont="1" applyNumberFormat="1" applyFill="1" applyProtection="1">
      <alignment vertical="top"/>
    </xf>
    <xf numFmtId="165" fontId="28" fillId="0" borderId="67" xfId="0" applyAlignment="1" applyBorder="1" applyFont="1" applyNumberFormat="1">
      <alignment horizontal="right" vertical="top"/>
    </xf>
    <xf numFmtId="165" fontId="28" fillId="0" borderId="72" xfId="0" applyAlignment="1" applyBorder="1" applyFont="1" applyNumberFormat="1">
      <alignment horizontal="right" vertical="top"/>
    </xf>
    <xf numFmtId="10" fontId="30" fillId="2" borderId="17" xfId="0" applyAlignment="1" applyBorder="1" applyFont="1" applyNumberFormat="1" applyFill="1">
      <alignment horizontal="right" vertical="top"/>
    </xf>
    <xf numFmtId="0" fontId="31" fillId="11" borderId="70" xfId="0" applyAlignment="1" applyBorder="1" applyFont="1" applyFill="1"/>
    <xf numFmtId="165" fontId="31" fillId="11" borderId="40" xfId="0" applyAlignment="1" applyBorder="1" applyFont="1" applyNumberFormat="1" applyFill="1"/>
    <xf numFmtId="165" fontId="31" fillId="11" borderId="43" xfId="0" applyAlignment="1" applyBorder="1" applyFont="1" applyNumberFormat="1" applyFill="1"/>
    <xf numFmtId="165" fontId="31" fillId="11" borderId="72" xfId="0" applyAlignment="1" applyBorder="1" applyFont="1" applyNumberFormat="1" applyFill="1"/>
    <xf numFmtId="0" fontId="33" fillId="11" borderId="17" xfId="0" applyAlignment="1" applyBorder="1" applyFont="1" applyFill="1" applyProtection="1">
      <protection locked="0"/>
    </xf>
    <xf numFmtId="165" fontId="33" fillId="11" borderId="17" xfId="0" applyAlignment="1" applyBorder="1" applyFont="1" applyNumberFormat="1" applyFill="1"/>
    <xf numFmtId="165" fontId="33" fillId="11" borderId="69" xfId="0" applyAlignment="1" applyBorder="1" applyFont="1" applyNumberFormat="1" applyFill="1"/>
    <xf numFmtId="0" fontId="28" fillId="0" borderId="17" xfId="0" applyAlignment="1" applyBorder="1" applyFont="1" applyFill="1" applyProtection="1">
      <protection locked="0"/>
    </xf>
    <xf numFmtId="165" fontId="28" fillId="0" borderId="17" xfId="0" applyAlignment="1" applyBorder="1" applyFont="1" applyNumberFormat="1" applyFill="1" applyProtection="1"/>
    <xf numFmtId="165" fontId="28" fillId="0" borderId="69" xfId="0" applyAlignment="1" applyBorder="1" applyFont="1" applyNumberFormat="1" applyFill="1" applyProtection="1"/>
    <xf numFmtId="0" fontId="28" fillId="0" borderId="40" xfId="0" applyAlignment="1" applyBorder="1" applyFont="1" applyFill="1"/>
    <xf numFmtId="165" fontId="28" fillId="0" borderId="40" xfId="0" applyAlignment="1" applyBorder="1" applyFont="1" applyNumberFormat="1" applyFill="1" applyProtection="1"/>
    <xf numFmtId="165" fontId="28" fillId="0" borderId="72" xfId="0" applyAlignment="1" applyBorder="1" applyFont="1" applyNumberFormat="1" applyFill="1" applyProtection="1"/>
    <xf numFmtId="165" fontId="31" fillId="11" borderId="78" xfId="0" applyBorder="1" applyFont="1" applyNumberFormat="1" applyFill="1"/>
    <xf numFmtId="0" fontId="31" fillId="11" borderId="68" xfId="0" applyBorder="1" applyFont="1" applyFill="1" applyProtection="1"/>
    <xf numFmtId="165" fontId="28" fillId="11" borderId="0" xfId="0" applyBorder="1" applyFont="1" applyNumberFormat="1" applyFill="1" applyProtection="1"/>
    <xf numFmtId="165" fontId="31" fillId="11" borderId="0" xfId="0" applyBorder="1" applyFont="1" applyNumberFormat="1" applyFill="1"/>
    <xf numFmtId="165" fontId="66" fillId="11" borderId="69" xfId="0" applyBorder="1" applyFont="1" applyNumberFormat="1" applyFill="1" applyProtection="1"/>
    <xf numFmtId="0" fontId="31" fillId="11" borderId="71" xfId="0" applyBorder="1" applyFont="1" applyFill="1" applyProtection="1"/>
    <xf numFmtId="0" fontId="31" fillId="11" borderId="22" xfId="0" applyBorder="1" applyFont="1" applyFill="1" applyProtection="1"/>
    <xf numFmtId="0" fontId="31" fillId="11" borderId="67" xfId="0" applyBorder="1" applyFont="1" applyFill="1" applyProtection="1"/>
    <xf numFmtId="0" fontId="32" fillId="11" borderId="22" xfId="0" applyBorder="1" applyFont="1" applyFill="1"/>
    <xf numFmtId="0" fontId="32" fillId="11" borderId="67" xfId="0" applyBorder="1" applyFont="1" applyFill="1"/>
    <xf numFmtId="0" fontId="31" fillId="11" borderId="41" xfId="0" applyBorder="1" applyFont="1" applyFill="1" applyProtection="1"/>
    <xf numFmtId="0" fontId="32" fillId="11" borderId="41" xfId="0" applyBorder="1" applyFont="1" applyFill="1"/>
    <xf numFmtId="0" fontId="32" fillId="11" borderId="72" xfId="0" applyBorder="1" applyFont="1" applyFill="1"/>
    <xf numFmtId="0" fontId="31" fillId="11" borderId="71" xfId="0" applyBorder="1" applyFont="1" applyFill="1"/>
    <xf numFmtId="0" fontId="31" fillId="11" borderId="22" xfId="0" applyBorder="1" applyFont="1" applyFill="1"/>
    <xf numFmtId="0" fontId="31" fillId="11" borderId="67" xfId="0" applyBorder="1" applyFont="1" applyFill="1"/>
    <xf numFmtId="0" fontId="31" fillId="11" borderId="70" xfId="0" applyBorder="1" applyFont="1" applyFill="1" applyProtection="1"/>
    <xf numFmtId="0" fontId="31" fillId="11" borderId="72" xfId="0" applyBorder="1" applyFont="1" applyFill="1" applyProtection="1"/>
    <xf numFmtId="0" fontId="31" fillId="11" borderId="43" xfId="0" applyBorder="1" applyFont="1" applyFill="1" applyProtection="1"/>
    <xf numFmtId="165" fontId="31" fillId="11" borderId="43" xfId="0" applyBorder="1" applyFont="1" applyNumberFormat="1" applyFill="1"/>
    <xf numFmtId="0" fontId="76" fillId="0" borderId="0" xfId="0" applyFont="1"/>
    <xf numFmtId="0" fontId="76" fillId="0" borderId="69" xfId="0" applyBorder="1" applyFont="1"/>
    <xf numFmtId="0" fontId="28" fillId="0" borderId="0" xfId="0" applyFont="1"/>
    <xf numFmtId="0" fontId="28" fillId="11" borderId="0" xfId="0" applyFont="1" applyFill="1"/>
    <xf numFmtId="0" fontId="64" fillId="0" borderId="68" xfId="0" applyBorder="1" applyFont="1" applyProtection="1"/>
    <xf numFmtId="165" fontId="64" fillId="0" borderId="0" xfId="0" applyBorder="1" applyFont="1" applyNumberFormat="1" applyProtection="1"/>
    <xf numFmtId="165" fontId="77" fillId="0" borderId="0" xfId="0" applyBorder="1" applyFont="1" applyNumberFormat="1" applyProtection="1"/>
    <xf numFmtId="165" fontId="77" fillId="0" borderId="0" xfId="0" applyFont="1" applyNumberFormat="1"/>
    <xf numFmtId="165" fontId="77" fillId="0" borderId="69" xfId="0" applyBorder="1" applyFont="1" applyNumberFormat="1" applyProtection="1"/>
    <xf numFmtId="0" fontId="64" fillId="11" borderId="77" xfId="0" applyBorder="1" applyFont="1" applyFill="1"/>
    <xf numFmtId="165" fontId="64" fillId="11" borderId="5" xfId="0" applyBorder="1" applyFont="1" applyNumberFormat="1" applyFill="1"/>
    <xf numFmtId="165" fontId="77" fillId="11" borderId="5" xfId="0" applyBorder="1" applyFont="1" applyNumberFormat="1" applyFill="1"/>
    <xf numFmtId="165" fontId="64" fillId="11" borderId="78" xfId="0" applyBorder="1" applyFont="1" applyNumberFormat="1" applyFill="1"/>
    <xf numFmtId="0" fontId="6" fillId="2" borderId="43" xfId="0" applyAlignment="1" applyBorder="1" applyFont="1" applyFill="1" applyProtection="1">
      <alignment horizontal="left" vertical="center"/>
      <protection locked="0"/>
    </xf>
    <xf numFmtId="0" fontId="13" fillId="12" borderId="71" xfId="0" applyAlignment="1" applyBorder="1" applyFont="1" applyFill="1" applyProtection="1">
      <alignment vertical="top"/>
      <protection locked="0"/>
    </xf>
    <xf numFmtId="0" fontId="13" fillId="12" borderId="22" xfId="0" applyAlignment="1" applyBorder="1" applyFont="1" applyFill="1" applyProtection="1">
      <alignment vertical="top"/>
      <protection locked="0"/>
    </xf>
    <xf numFmtId="0" fontId="13" fillId="12" borderId="89" xfId="0" applyAlignment="1" applyBorder="1" applyFont="1" applyFill="1" applyProtection="1">
      <alignment vertical="top"/>
      <protection locked="0"/>
    </xf>
    <xf numFmtId="0" fontId="13" fillId="12" borderId="70" xfId="0" applyAlignment="1" applyBorder="1" applyFont="1" applyFill="1" applyProtection="1">
      <alignment vertical="top"/>
      <protection locked="0"/>
    </xf>
    <xf numFmtId="0" fontId="13" fillId="12" borderId="41" xfId="0" applyAlignment="1" applyBorder="1" applyFont="1" applyFill="1" applyProtection="1">
      <alignment vertical="top"/>
      <protection locked="0"/>
    </xf>
    <xf numFmtId="0" fontId="13" fillId="12" borderId="42" xfId="0" applyAlignment="1" applyBorder="1" applyFont="1" applyFill="1" applyProtection="1">
      <alignment vertical="top"/>
      <protection locked="0"/>
    </xf>
    <xf numFmtId="0" fontId="7" fillId="12" borderId="90" xfId="0" applyBorder="1" applyFont="1" applyFill="1" applyProtection="1">
      <protection locked="0"/>
    </xf>
    <xf numFmtId="0" fontId="13" fillId="12" borderId="91" xfId="0" applyAlignment="1" applyBorder="1" applyFont="1" applyFill="1" applyProtection="1">
      <alignment vertical="center"/>
      <protection locked="0"/>
    </xf>
    <xf numFmtId="0" fontId="13" fillId="12" borderId="92" xfId="0" applyAlignment="1" applyBorder="1" applyFont="1" applyFill="1" applyProtection="1">
      <alignment vertical="center"/>
      <protection locked="0"/>
    </xf>
    <xf numFmtId="164" fontId="8" fillId="12" borderId="0" xfId="0" applyAlignment="1" applyBorder="1" applyFont="1" applyNumberFormat="1" applyFill="1" applyProtection="1">
      <alignment vertical="top"/>
      <protection locked="0"/>
    </xf>
    <xf numFmtId="0" fontId="7" fillId="12" borderId="10" xfId="0" applyAlignment="1" applyBorder="1" applyFont="1" applyFill="1" applyProtection="1">
      <alignment vertical="top"/>
      <protection locked="0"/>
    </xf>
    <xf numFmtId="164" fontId="7" fillId="12" borderId="24" xfId="0" applyAlignment="1" applyBorder="1" applyFont="1" applyNumberFormat="1" applyFill="1" applyProtection="1">
      <alignment vertical="top"/>
      <protection locked="0"/>
    </xf>
    <xf numFmtId="0" fontId="7" fillId="12" borderId="15" xfId="0" applyAlignment="1" applyBorder="1" applyFont="1" applyFill="1" applyProtection="1">
      <alignment vertical="top"/>
      <protection locked="0"/>
    </xf>
    <xf numFmtId="164" fontId="7" fillId="12" borderId="26" xfId="0" applyAlignment="1" applyBorder="1" applyFont="1" applyNumberFormat="1" applyFill="1" applyProtection="1">
      <alignment vertical="top"/>
      <protection locked="0"/>
    </xf>
    <xf numFmtId="0" fontId="7" fillId="12" borderId="17" xfId="0" applyAlignment="1" applyBorder="1" applyFont="1" applyFill="1" applyProtection="1">
      <alignment vertical="top"/>
      <protection locked="0"/>
    </xf>
    <xf numFmtId="164" fontId="7" fillId="12" borderId="0" xfId="0" applyAlignment="1" applyBorder="1" applyFont="1" applyNumberFormat="1" applyFill="1" applyProtection="1">
      <alignment vertical="top"/>
      <protection locked="0"/>
    </xf>
    <xf numFmtId="0" fontId="7" fillId="12" borderId="93" xfId="0" applyAlignment="1" applyBorder="1" applyFont="1" applyFill="1" applyProtection="1">
      <alignment horizontal="right" vertical="top"/>
      <protection locked="0"/>
    </xf>
    <xf numFmtId="0" fontId="7" fillId="12" borderId="94" xfId="0" applyAlignment="1" applyBorder="1" applyFont="1" applyFill="1" applyProtection="1">
      <alignment horizontal="right" vertical="top"/>
      <protection locked="0"/>
    </xf>
    <xf numFmtId="0" fontId="13" fillId="12" borderId="95" xfId="0" applyAlignment="1" applyBorder="1" applyFont="1" applyNumberFormat="1" applyFill="1" applyProtection="1">
      <alignment horizontal="right" vertical="top"/>
      <protection locked="0"/>
    </xf>
    <xf numFmtId="164" fontId="7" fillId="12" borderId="39" xfId="0" applyAlignment="1" applyBorder="1" applyFont="1" applyNumberFormat="1" applyFill="1" applyProtection="1">
      <alignment vertical="top"/>
      <protection locked="0"/>
    </xf>
    <xf numFmtId="164" fontId="7" fillId="12" borderId="96" xfId="0" applyAlignment="1" applyBorder="1" applyFont="1" applyNumberFormat="1" applyFill="1" applyProtection="1">
      <alignment vertical="top"/>
      <protection locked="0"/>
    </xf>
    <xf numFmtId="165" fontId="7" fillId="0" borderId="97" xfId="0" applyAlignment="1" applyBorder="1" applyFont="1" applyNumberFormat="1" applyFill="1" applyProtection="1">
      <alignment vertical="top"/>
      <protection locked="0"/>
    </xf>
    <xf numFmtId="165" fontId="13" fillId="12" borderId="18" xfId="0" applyAlignment="1" applyBorder="1" applyFont="1" applyNumberFormat="1" applyFill="1" applyProtection="1">
      <alignment horizontal="right" vertical="top"/>
      <protection locked="0"/>
    </xf>
    <xf numFmtId="165" fontId="13" fillId="12" borderId="21" xfId="0" applyAlignment="1" applyBorder="1" applyFont="1" applyNumberFormat="1" applyFill="1" applyProtection="1">
      <alignment horizontal="right" vertical="top"/>
      <protection locked="0"/>
    </xf>
    <xf numFmtId="165" fontId="7" fillId="12" borderId="55" xfId="0" applyAlignment="1" applyBorder="1" applyFont="1" applyNumberFormat="1" applyFill="1" applyProtection="1">
      <alignment horizontal="right"/>
      <protection locked="0"/>
    </xf>
    <xf numFmtId="165" fontId="7" fillId="12" borderId="98" xfId="0" applyAlignment="1" applyBorder="1" applyFont="1" applyNumberFormat="1" applyFill="1" applyProtection="1">
      <alignment horizontal="right"/>
      <protection locked="0"/>
    </xf>
    <xf numFmtId="165" fontId="7" fillId="12" borderId="87" xfId="0" applyAlignment="1" applyBorder="1" applyFont="1" applyNumberFormat="1" applyFill="1" applyProtection="1">
      <alignment horizontal="right"/>
      <protection locked="0"/>
    </xf>
    <xf numFmtId="165" fontId="13" fillId="12" borderId="87" xfId="0" applyAlignment="1" applyBorder="1" applyFont="1" applyNumberFormat="1" applyFill="1" applyProtection="1">
      <alignment horizontal="right"/>
      <protection locked="0"/>
    </xf>
    <xf numFmtId="165" fontId="54" fillId="0" borderId="40" xfId="0" applyAlignment="1" applyBorder="1" applyFont="1" applyNumberFormat="1" applyFill="1" applyProtection="1">
      <alignment horizontal="right"/>
    </xf>
    <xf numFmtId="165" fontId="54" fillId="0" borderId="43" xfId="0" applyAlignment="1" applyBorder="1" applyFont="1" applyNumberFormat="1" applyFill="1" applyProtection="1">
      <alignment horizontal="right"/>
    </xf>
    <xf numFmtId="165" fontId="67" fillId="2" borderId="43" xfId="0" applyAlignment="1" applyBorder="1" applyFont="1" applyNumberFormat="1" applyFill="1" applyProtection="1">
      <alignment horizontal="right"/>
    </xf>
    <xf numFmtId="165" fontId="67" fillId="2" borderId="17" xfId="0" applyAlignment="1" applyBorder="1" applyFont="1" applyNumberFormat="1" applyFill="1" applyProtection="1">
      <alignment horizontal="right"/>
    </xf>
    <xf numFmtId="172" fontId="28" fillId="0" borderId="22" xfId="0" applyBorder="1" applyFont="1" applyNumberFormat="1" applyProtection="1"/>
    <xf numFmtId="172" fontId="28" fillId="0" borderId="0" xfId="0" applyBorder="1" applyFont="1" applyNumberFormat="1" applyProtection="1"/>
    <xf numFmtId="0" fontId="42" fillId="0" borderId="1" xfId="0" applyAlignment="1" applyBorder="1" applyFont="1">
      <alignment horizontal="left" vertical="top" wrapText="1"/>
    </xf>
    <xf numFmtId="0" fontId="30" fillId="0" borderId="1" xfId="0" applyAlignment="1" applyBorder="1" applyFont="1">
      <alignment vertical="top" wrapText="1"/>
    </xf>
    <xf numFmtId="0" fontId="7" fillId="0" borderId="43" xfId="0" applyAlignment="1" applyBorder="1" applyFont="1" applyFill="1" applyProtection="1">
      <alignment vertical="top"/>
      <protection locked="0"/>
    </xf>
    <xf numFmtId="3" fontId="7" fillId="0" borderId="43" xfId="0" applyAlignment="1" applyBorder="1" applyFont="1" applyNumberFormat="1" applyFill="1" applyProtection="1">
      <alignment vertical="top"/>
      <protection locked="0"/>
    </xf>
    <xf numFmtId="164" fontId="7" fillId="0" borderId="77" xfId="0" applyAlignment="1" applyBorder="1" applyFont="1" applyNumberFormat="1" applyFill="1" applyProtection="1">
      <alignment vertical="top"/>
      <protection locked="0"/>
    </xf>
    <xf numFmtId="0" fontId="25" fillId="0" borderId="0" xfId="0" applyFont="1"/>
    <xf numFmtId="0" fontId="78" fillId="0" borderId="0" xfId="0" applyFont="1"/>
    <xf numFmtId="0" fontId="79" fillId="0" borderId="0" xfId="0" applyAlignment="1" applyFont="1">
      <alignment horizontal="left" vertical="center" indent="1"/>
    </xf>
    <xf numFmtId="0" fontId="13" fillId="0" borderId="0" xfId="0" applyAlignment="1" applyFont="1" applyFill="1" applyProtection="1">
      <alignment horizontal="left" vertical="top"/>
      <protection hidden="1"/>
    </xf>
    <xf numFmtId="0" fontId="12" fillId="0" borderId="0" xfId="0" applyFont="1" applyProtection="1">
      <protection hidden="1"/>
    </xf>
    <xf numFmtId="0" fontId="30" fillId="0" borderId="1" xfId="0" applyAlignment="1" applyBorder="1" applyFont="1" applyNumberFormat="1">
      <alignment horizontal="left" vertical="top" wrapText="1"/>
    </xf>
    <xf numFmtId="0" fontId="30" fillId="0" borderId="35" xfId="0" applyAlignment="1" applyBorder="1" applyFont="1" applyNumberFormat="1">
      <alignment horizontal="left" vertical="top" wrapText="1"/>
    </xf>
    <xf numFmtId="0" fontId="48" fillId="7" borderId="0" xfId="0" applyAlignment="1" applyBorder="1" applyFont="1" applyFill="1">
      <alignment horizontal="left" vertical="center"/>
    </xf>
    <xf numFmtId="0" fontId="13" fillId="12" borderId="99" xfId="0" applyAlignment="1" applyBorder="1" applyFont="1" applyFill="1" applyProtection="1">
      <alignment horizontal="left" vertical="center"/>
      <protection locked="0"/>
    </xf>
    <xf numFmtId="0" fontId="13" fillId="12" borderId="100" xfId="0" applyAlignment="1" applyBorder="1" applyFont="1" applyFill="1" applyProtection="1">
      <alignment horizontal="left" vertical="center"/>
      <protection locked="0"/>
    </xf>
    <xf numFmtId="0" fontId="13" fillId="12" borderId="101" xfId="0" applyAlignment="1" applyBorder="1" applyFont="1" applyFill="1" applyProtection="1">
      <alignment horizontal="left" vertical="center"/>
      <protection locked="0"/>
    </xf>
    <xf numFmtId="49" fontId="7" fillId="12" borderId="77" xfId="0" applyAlignment="1" applyBorder="1" applyFont="1" applyNumberFormat="1" applyFill="1" applyProtection="1">
      <alignment horizontal="left" vertical="center"/>
      <protection locked="0"/>
    </xf>
    <xf numFmtId="49" fontId="7" fillId="12" borderId="78" xfId="0" applyAlignment="1" applyBorder="1" applyFont="1" applyNumberFormat="1" applyFill="1" applyProtection="1">
      <alignment horizontal="left" vertical="center"/>
      <protection locked="0"/>
    </xf>
    <xf numFmtId="171" fontId="7" fillId="12" borderId="77" xfId="0" applyAlignment="1" applyBorder="1" applyFont="1" applyNumberFormat="1" applyFill="1" applyProtection="1">
      <alignment horizontal="left" vertical="center"/>
      <protection locked="0"/>
    </xf>
    <xf numFmtId="171" fontId="7" fillId="12" borderId="6" xfId="0" applyAlignment="1" applyBorder="1" applyFont="1" applyNumberFormat="1" applyFill="1" applyProtection="1">
      <alignment horizontal="left" vertical="center"/>
      <protection locked="0"/>
    </xf>
    <xf numFmtId="0" fontId="9" fillId="12" borderId="77" xfId="1" applyAlignment="1" applyBorder="1" applyFont="1" applyFill="1" applyProtection="1">
      <alignment horizontal="left" vertical="top"/>
      <protection locked="0"/>
    </xf>
    <xf numFmtId="0" fontId="75" fillId="12" borderId="5" xfId="1" applyAlignment="1" applyBorder="1" applyFont="1" applyFill="1" applyProtection="1">
      <alignment horizontal="left" vertical="top"/>
      <protection locked="0"/>
    </xf>
    <xf numFmtId="0" fontId="75" fillId="12" borderId="6" xfId="1" applyAlignment="1" applyBorder="1" applyFont="1" applyFill="1" applyProtection="1">
      <alignment horizontal="left" vertical="top"/>
      <protection locked="0"/>
    </xf>
    <xf numFmtId="165" fontId="67" fillId="0" borderId="11" xfId="0" applyAlignment="1" applyBorder="1" applyFont="1" applyNumberFormat="1" applyFill="1" applyProtection="1">
      <alignment horizontal="center"/>
    </xf>
    <xf numFmtId="165" fontId="67" fillId="0" borderId="42" xfId="0" applyAlignment="1" applyBorder="1" applyFont="1" applyNumberFormat="1" applyFill="1" applyProtection="1">
      <alignment horizontal="center"/>
    </xf>
    <xf numFmtId="165" fontId="69" fillId="8" borderId="55" xfId="0" applyAlignment="1" applyBorder="1" applyFont="1" applyNumberFormat="1" applyFill="1">
      <alignment horizontal="center"/>
    </xf>
    <xf numFmtId="165" fontId="69" fillId="8" borderId="57" xfId="0" applyAlignment="1" applyBorder="1" applyFont="1" applyNumberFormat="1" applyFill="1">
      <alignment horizontal="center"/>
    </xf>
    <xf numFmtId="165" fontId="67" fillId="2" borderId="4" xfId="0" applyAlignment="1" applyBorder="1" applyFont="1" applyNumberFormat="1" applyFill="1" applyProtection="1">
      <alignment horizontal="center"/>
    </xf>
    <xf numFmtId="165" fontId="67" fillId="2" borderId="6" xfId="0" applyAlignment="1" applyBorder="1" applyFont="1" applyNumberFormat="1" applyFill="1" applyProtection="1">
      <alignment horizontal="center"/>
    </xf>
    <xf numFmtId="165" fontId="67" fillId="2" borderId="102" xfId="0" applyAlignment="1" applyBorder="1" applyFont="1" applyNumberFormat="1" applyFill="1">
      <alignment horizontal="center"/>
    </xf>
    <xf numFmtId="165" fontId="67" fillId="2" borderId="92" xfId="0" applyAlignment="1" applyBorder="1" applyFont="1" applyNumberFormat="1" applyFill="1">
      <alignment horizontal="center"/>
    </xf>
    <xf numFmtId="0" fontId="7" fillId="0" borderId="82" xfId="0" applyAlignment="1" applyBorder="1" applyFont="1">
      <alignment horizontal="left"/>
    </xf>
    <xf numFmtId="0" fontId="7" fillId="0" borderId="83" xfId="0" applyAlignment="1" applyBorder="1" applyFont="1">
      <alignment horizontal="left"/>
    </xf>
    <xf numFmtId="0" fontId="7" fillId="0" borderId="12" xfId="0" applyAlignment="1" applyBorder="1" applyFont="1">
      <alignment horizontal="left"/>
    </xf>
    <xf numFmtId="0" fontId="7" fillId="0" borderId="69" xfId="0" applyAlignment="1" applyBorder="1" applyFont="1">
      <alignment horizontal="left"/>
    </xf>
    <xf numFmtId="0" fontId="13" fillId="0" borderId="12" xfId="0" applyAlignment="1" applyBorder="1" applyFont="1" applyFill="1" applyProtection="1">
      <alignment horizontal="left" vertical="top" wrapText="1"/>
      <protection locked="0"/>
    </xf>
    <xf numFmtId="0" fontId="13" fillId="0" borderId="69" xfId="0" applyAlignment="1" applyBorder="1" applyFont="1" applyFill="1" applyProtection="1">
      <alignment horizontal="left" vertical="top" wrapText="1"/>
      <protection locked="0"/>
    </xf>
    <xf numFmtId="0" fontId="7" fillId="0" borderId="69" xfId="0" applyAlignment="1" applyBorder="1" applyFont="1" applyFill="1">
      <alignment horizontal="left" vertical="top"/>
    </xf>
    <xf numFmtId="165" fontId="68" fillId="7" borderId="79" xfId="0" applyAlignment="1" applyBorder="1" applyFont="1" applyNumberFormat="1" applyFill="1" applyProtection="1">
      <alignment horizontal="center"/>
      <protection locked="0"/>
    </xf>
    <xf numFmtId="165" fontId="72" fillId="7" borderId="103" xfId="0" applyAlignment="1" applyBorder="1" applyFont="1" applyNumberFormat="1" applyFill="1" applyProtection="1">
      <alignment horizontal="center"/>
      <protection locked="0"/>
    </xf>
    <xf numFmtId="0" fontId="37" fillId="0" borderId="0" xfId="0" applyAlignment="1" applyFont="1" applyProtection="1">
      <alignment horizontal="left" vertical="top" wrapText="1"/>
      <protection hidden="1"/>
    </xf>
    <xf numFmtId="0" fontId="36" fillId="0" borderId="0" xfId="0" applyAlignment="1" applyBorder="1" applyFont="1" applyFill="1">
      <alignment horizontal="left" vertical="top" wrapText="1"/>
    </xf>
    <xf numFmtId="0" fontId="26" fillId="2" borderId="77" xfId="0" applyAlignment="1" applyBorder="1" applyFont="1" applyFill="1">
      <alignment horizontal="left" vertical="top"/>
    </xf>
    <xf numFmtId="0" fontId="26" fillId="2" borderId="78" xfId="0" applyAlignment="1" applyBorder="1" applyFont="1" applyFill="1">
      <alignment horizontal="left" vertical="top"/>
    </xf>
    <xf numFmtId="0" fontId="26" fillId="2" borderId="77" xfId="0" applyBorder="1" applyFont="1" applyFill="1" quotePrefix="1"/>
    <xf numFmtId="0" fontId="26" fillId="2" borderId="78" xfId="0" applyBorder="1" applyFont="1" applyFill="1" quotePrefix="1"/>
    <xf numFmtId="0" fontId="26" fillId="2" borderId="77" xfId="0" applyAlignment="1" applyBorder="1" applyFont="1" applyFill="1">
      <alignment horizontal="left"/>
    </xf>
    <xf numFmtId="0" fontId="26" fillId="2" borderId="78" xfId="0" applyAlignment="1" applyBorder="1" applyFont="1" applyFill="1">
      <alignment horizontal="left"/>
    </xf>
    <xf numFmtId="0" fontId="26" fillId="2" borderId="68" xfId="0" applyAlignment="1" applyBorder="1" applyFont="1" applyFill="1">
      <alignment vertical="top" wrapText="1"/>
    </xf>
    <xf numFmtId="0" fontId="26" fillId="2" borderId="0" xfId="0" applyAlignment="1" applyBorder="1" applyFont="1" applyFill="1">
      <alignment vertical="top" wrapText="1"/>
    </xf>
    <xf numFmtId="0" fontId="26" fillId="2" borderId="69" xfId="0" applyAlignment="1" applyBorder="1" applyFont="1" applyFill="1">
      <alignment vertical="top" wrapText="1"/>
    </xf>
    <xf numFmtId="0" fontId="26" fillId="2" borderId="70" xfId="0" applyAlignment="1" applyBorder="1" applyFont="1" applyFill="1">
      <alignment vertical="top" wrapText="1"/>
    </xf>
    <xf numFmtId="0" fontId="26" fillId="2" borderId="41" xfId="0" applyAlignment="1" applyBorder="1" applyFont="1" applyFill="1">
      <alignment vertical="top" wrapText="1"/>
    </xf>
    <xf numFmtId="0" fontId="26" fillId="2" borderId="72" xfId="0" applyAlignment="1" applyBorder="1" applyFont="1" applyFill="1">
      <alignment vertical="top" wrapText="1"/>
    </xf>
    <xf numFmtId="0" fontId="21" fillId="0" borderId="71" xfId="0" applyAlignment="1" applyBorder="1" applyFont="1">
      <alignment horizontal="left" vertical="top" wrapText="1"/>
    </xf>
    <xf numFmtId="0" fontId="21" fillId="0" borderId="67" xfId="0" applyAlignment="1" applyBorder="1" applyFont="1">
      <alignment horizontal="left" vertical="top" wrapText="1"/>
    </xf>
    <xf numFmtId="0" fontId="21" fillId="0" borderId="70" xfId="0" applyAlignment="1" applyBorder="1" applyFont="1">
      <alignment horizontal="left" vertical="top" wrapText="1"/>
    </xf>
    <xf numFmtId="0" fontId="21" fillId="0" borderId="72" xfId="0" applyAlignment="1" applyBorder="1" applyFont="1">
      <alignment horizontal="left" vertical="top" wrapText="1"/>
    </xf>
  </cellXfs>
  <cellStyles count="3">
    <cellStyle name="Comma" xfId="2" builtinId="3"/>
    <cellStyle name="Hyperlink" xfId="1" builtinId="8"/>
    <cellStyle name="Normal" xfId="0" builtinId="0"/>
  </cellStyles>
  <dxfs xmlns="http://schemas.openxmlformats.org/spreadsheetml/2006/main" count="0"/>
  <tableStyles xmlns="http://schemas.openxmlformats.org/spreadsheetml/2006/main" count="0" defaultTableStyle="TableStyleMedium9" defaultPivotStyle="PivotStyleLight16"/>
</styleSheet>
</file>

<file path=xl/_rels/workbook.xml.rels><?xml version="1.0" encoding="utf-8" standalone="yes"?><Relationships xmlns="http://schemas.openxmlformats.org/package/2006/relationships"><Relationship Id="rId8" Type="http://schemas.openxmlformats.org/officeDocument/2006/relationships/theme" Target="theme/theme1.xml" /><Relationship Id="rId6" Type="http://schemas.openxmlformats.org/officeDocument/2006/relationships/worksheet" Target="worksheets/sheet6.xml" /><Relationship Id="rId2" Type="http://schemas.openxmlformats.org/officeDocument/2006/relationships/worksheet" Target="worksheets/sheet2.xml" /><Relationship Id="rId7" Type="http://schemas.openxmlformats.org/officeDocument/2006/relationships/worksheet" Target="worksheets/sheet7.xml" /><Relationship Id="rId3" Type="http://schemas.openxmlformats.org/officeDocument/2006/relationships/worksheet" Target="worksheets/sheet3.xml" /><Relationship Id="rId1" Type="http://schemas.openxmlformats.org/officeDocument/2006/relationships/worksheet" Target="worksheets/sheet1.xml" /><Relationship Id="rId4" Type="http://schemas.openxmlformats.org/officeDocument/2006/relationships/worksheet" Target="worksheets/sheet4.xml" /><Relationship Id="rId10" Type="http://schemas.openxmlformats.org/officeDocument/2006/relationships/sharedStrings" Target="sharedStrings.xml" /><Relationship Id="rId5" Type="http://schemas.openxmlformats.org/officeDocument/2006/relationships/worksheet" Target="worksheets/sheet5.xml" /><Relationship Id="rId9" Type="http://schemas.openxmlformats.org/officeDocument/2006/relationships/styles" Target="styles.xml" /></Relationships>
</file>

<file path=xl/drawings/_rels/drawing1.xml.rels><?xml version="1.0" encoding="utf-8" standalone="yes"?><Relationships xmlns="http://schemas.openxmlformats.org/package/2006/relationships"><Relationship Id="rId1" Type="http://schemas.openxmlformats.org/officeDocument/2006/relationships/image" Target="/xl/media/image1.jpeg" /></Relationships>
</file>

<file path=xl/drawings/_rels/drawing2.xml.rels><?xml version="1.0" encoding="utf-8" standalone="yes"?><Relationships xmlns="http://schemas.openxmlformats.org/package/2006/relationships"><Relationship Id="rId1" Type="http://schemas.openxmlformats.org/officeDocument/2006/relationships/image" Target="/xl/media/image1.jpeg" /></Relationships>
</file>

<file path=xl/drawings/_rels/drawing3.xml.rels><?xml version="1.0" encoding="utf-8" standalone="yes"?><Relationships xmlns="http://schemas.openxmlformats.org/package/2006/relationships"><Relationship Id="rId1" Type="http://schemas.openxmlformats.org/officeDocument/2006/relationships/image" Target="/xl/media/image1.jpeg" /></Relationships>
</file>

<file path=xl/drawings/_rels/drawing4.xml.rels><?xml version="1.0" encoding="utf-8" standalone="yes"?><Relationships xmlns="http://schemas.openxmlformats.org/package/2006/relationships"><Relationship Id="rId1" Type="http://schemas.openxmlformats.org/officeDocument/2006/relationships/image" Target="/xl/media/image2.jpeg" /><Relationship Id="rId2" Type="http://schemas.openxmlformats.org/officeDocument/2006/relationships/image" Target="/xl/media/image3.jpeg" /></Relationships>
</file>

<file path=xl/drawings/drawing1.xml><?xml version="1.0" encoding="utf-8"?>
<xdr:wsDr xmlns:xdr="http://schemas.openxmlformats.org/drawingml/2006/spreadsheetDrawing" xmlns:a="http://schemas.openxmlformats.org/drawingml/2006/main">
  <xdr:twoCellAnchor editAs="oneCell">
    <xdr:from>
      <xdr:col>1</xdr:col>
      <xdr:colOff>6614</xdr:colOff>
      <xdr:row>1</xdr:row>
      <xdr:rowOff>19050</xdr:rowOff>
    </xdr:from>
    <xdr:to>
      <xdr:col>1</xdr:col>
      <xdr:colOff>2367651</xdr:colOff>
      <xdr:row>1</xdr:row>
      <xdr:rowOff>914400</xdr:rowOff>
    </xdr:to>
    <xdr:pic>
      <xdr:nvPicPr>
        <xdr:cNvPr id="2" name="Picture 1" descr="solent_logo369x140x24.jpg"/>
        <xdr:cNvPicPr>
          <a:picLocks noChangeAspect="1"/>
        </xdr:cNvPicPr>
      </xdr:nvPicPr>
      <xdr:blipFill>
        <a:blip xmlns:d5p1="http://schemas.openxmlformats.org/officeDocument/2006/relationships" d5p1:embed="rId1"/>
        <a:srcRect/>
        <a:stretch>
          <a:fillRect/>
        </a:stretch>
      </xdr:blipFill>
      <xdr:spPr xmlns:xdr="http://schemas.openxmlformats.org/drawingml/2006/spreadsheetDrawing">
        <a:xfrm xmlns:a="http://schemas.openxmlformats.org/drawingml/2006/main">
          <a:off x="171450" y="161925"/>
          <a:ext cx="2359887" cy="895350"/>
        </a:xfrm>
        <a:prstGeom xmlns:a="http://schemas.openxmlformats.org/drawingml/2006/main"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twoCell">
    <xdr:from>
      <xdr:col>9</xdr:col>
      <xdr:colOff>161209</xdr:colOff>
      <xdr:row>6</xdr:row>
      <xdr:rowOff>85725</xdr:rowOff>
    </xdr:from>
    <xdr:to>
      <xdr:col>12</xdr:col>
      <xdr:colOff>1343304</xdr:colOff>
      <xdr:row>39</xdr:row>
      <xdr:rowOff>161925</xdr:rowOff>
    </xdr:to>
    <xdr:sp>
      <xdr:nvSpPr>
        <xdr:cNvPr id="3" name="TextBox 2"/>
        <xdr:cNvSpPr txBox="1"/>
      </xdr:nvSpPr>
      <xdr:spPr>
        <a:xfrm>
          <a:off x="6734178" y="1247775"/>
          <a:ext cx="5543547" cy="5295899"/>
        </a:xfrm>
        <a:prstGeom prst="rect">
          <a:avLst/>
        </a:prstGeom>
        <a:ln w="12700" cmpd="sng">
          <a:solidFill>
            <a:srgbClr val="7F7F7F"/>
          </a:solidFill>
          <a:headEnd type="none" w="med" len="med"/>
          <a:tailEnd type="none" w="med" len="med"/>
        </a:ln>
      </xdr:spPr>
      <xdr:txBody>
        <a:bodyPr wrap="square" rtlCol="0"/>
        <a:lstStyle/>
        <a:p>
          <a:pPr/>
          <a:r>
            <a:rPr lang="en-GB" b="1" i="0" sz="1000">
              <a:solidFill>
                <a:srgbClr val="000000"/>
              </a:solidFill>
              <a:latin typeface="Arial"/>
            </a:rPr>
            <a:t>You should complete all the blue boxes, as appropriate. You can alter/add information in the blue boxes.</a:t>
          </a:r>
          <a:endParaRPr lang="en-GB" b="1" i="0" sz="1000">
            <a:solidFill>
              <a:srgbClr val="000000"/>
            </a:solidFill>
            <a:latin typeface="Arial"/>
          </a:endParaRPr>
        </a:p>
        <a:p>
          <a:endParaRPr lang="en-GB" b="0" i="0" sz="1000">
            <a:solidFill>
              <a:srgbClr val="000000"/>
            </a:solidFill>
            <a:latin typeface="Arial"/>
          </a:endParaRPr>
        </a:p>
        <a:p>
          <a:r>
            <a:rPr lang="en-GB" b="0" i="0" sz="1000">
              <a:solidFill>
                <a:srgbClr val="000000"/>
              </a:solidFill>
              <a:latin typeface="Arial"/>
            </a:rPr>
            <a:t>We strongly advise that you use the repayment calculations to help you consider your educational loans borrowing and repayment options. Please use these to plan your repayments against your future salary expectations.</a:t>
          </a:r>
          <a:endParaRPr lang="en-GB" b="0" i="0" sz="1000">
            <a:solidFill>
              <a:srgbClr val="000000"/>
            </a:solidFill>
            <a:latin typeface="Arial"/>
          </a:endParaRPr>
        </a:p>
        <a:p>
          <a:endParaRPr lang="en-GB" b="0" i="0" sz="1000">
            <a:solidFill>
              <a:srgbClr val="000000"/>
            </a:solidFill>
            <a:latin typeface="Arial"/>
          </a:endParaRPr>
        </a:p>
        <a:p>
          <a:r>
            <a:rPr lang="en-GB" b="0" i="0" sz="1000">
              <a:solidFill>
                <a:srgbClr val="000000"/>
              </a:solidFill>
              <a:latin typeface="Arial"/>
            </a:rPr>
            <a:t> Costs will be weekly or annual. Exceptionally cost may be weekly plus an annual allowance.</a:t>
          </a:r>
          <a:endParaRPr lang="en-GB" b="0" i="0" sz="1000">
            <a:solidFill>
              <a:srgbClr val="000000"/>
            </a:solidFill>
            <a:latin typeface="Arial"/>
          </a:endParaRPr>
        </a:p>
        <a:p>
          <a:r>
            <a:rPr lang="en-GB" b="0" i="0" sz="1000">
              <a:solidFill>
                <a:srgbClr val="000000"/>
              </a:solidFill>
              <a:latin typeface="Arial"/>
            </a:rPr>
            <a:t> Books/supplies are expenses related to the studies.</a:t>
          </a:r>
          <a:endParaRPr lang="en-GB" b="0" i="0" sz="1000">
            <a:solidFill>
              <a:srgbClr val="000000"/>
            </a:solidFill>
            <a:latin typeface="Arial"/>
          </a:endParaRPr>
        </a:p>
        <a:p>
          <a:r>
            <a:rPr lang="en-GB" b="0" i="0" sz="1000">
              <a:solidFill>
                <a:srgbClr val="000000"/>
              </a:solidFill>
              <a:latin typeface="Arial"/>
            </a:rPr>
            <a:t> Transport is local; travel is an allowance for flights home. </a:t>
          </a:r>
          <a:endParaRPr lang="en-GB" b="0" i="0" sz="1000">
            <a:solidFill>
              <a:srgbClr val="000000"/>
            </a:solidFill>
            <a:latin typeface="Arial"/>
          </a:endParaRPr>
        </a:p>
        <a:p>
          <a:r>
            <a:rPr lang="en-GB" b="0" i="0" sz="1000">
              <a:solidFill>
                <a:srgbClr val="000000"/>
              </a:solidFill>
              <a:latin typeface="Arial"/>
            </a:rPr>
            <a:t> Personal covers social spending and incidentals other than food. </a:t>
          </a:r>
          <a:endParaRPr lang="en-GB" b="0" i="0" sz="1000">
            <a:solidFill>
              <a:srgbClr val="000000"/>
            </a:solidFill>
            <a:latin typeface="Arial"/>
          </a:endParaRPr>
        </a:p>
        <a:p>
          <a:r>
            <a:rPr lang="en-GB" b="0" i="0" sz="1000">
              <a:solidFill>
                <a:srgbClr val="000000"/>
              </a:solidFill>
              <a:latin typeface="Arial"/>
            </a:rPr>
            <a:t> Contingency is intended to cover unforeseen emergency expenses and prevent the student incurring debt. </a:t>
          </a:r>
          <a:endParaRPr lang="en-GB" b="0" i="0" sz="1000">
            <a:solidFill>
              <a:srgbClr val="000000"/>
            </a:solidFill>
            <a:latin typeface="Arial"/>
          </a:endParaRPr>
        </a:p>
        <a:p>
          <a:r>
            <a:rPr lang="en-GB" b="0" i="0" sz="1000">
              <a:solidFill>
                <a:srgbClr val="000000"/>
              </a:solidFill>
              <a:latin typeface="Arial"/>
            </a:rPr>
            <a:t> Special needs - you will be required to provide justification for these, such as ongoing medical expenses. </a:t>
          </a:r>
          <a:endParaRPr lang="en-GB" b="0" i="0" sz="1000">
            <a:solidFill>
              <a:srgbClr val="000000"/>
            </a:solidFill>
            <a:latin typeface="Arial"/>
          </a:endParaRPr>
        </a:p>
        <a:p>
          <a:r>
            <a:rPr lang="en-GB" b="0" i="0" sz="1000">
              <a:solidFill>
                <a:srgbClr val="000000"/>
              </a:solidFill>
              <a:latin typeface="Arial"/>
            </a:rPr>
            <a:t> Accommodation is based on the cost of rental in halls; but is roughly comparable for private accommodation. </a:t>
          </a:r>
          <a:endParaRPr lang="en-GB" b="0" i="0" sz="1000">
            <a:solidFill>
              <a:srgbClr val="000000"/>
            </a:solidFill>
            <a:latin typeface="Arial"/>
          </a:endParaRPr>
        </a:p>
        <a:p>
          <a:r>
            <a:rPr lang="en-GB" b="0" i="0" sz="1000">
              <a:solidFill>
                <a:srgbClr val="000000"/>
              </a:solidFill>
              <a:latin typeface="Arial"/>
            </a:rPr>
            <a:t> Living costs covers food and broadband.</a:t>
          </a:r>
          <a:endParaRPr lang="en-GB" b="0" i="0" sz="1000">
            <a:solidFill>
              <a:srgbClr val="000000"/>
            </a:solidFill>
            <a:latin typeface="Arial"/>
          </a:endParaRPr>
        </a:p>
        <a:p>
          <a:r>
            <a:rPr lang="en-GB" b="0" i="0" sz="1000">
              <a:solidFill>
                <a:srgbClr val="000000"/>
              </a:solidFill>
              <a:latin typeface="Arial"/>
            </a:rPr>
            <a:t>If you are a returning student the computer allowance will have been removed. Please contact us if you wish this to be included.</a:t>
          </a:r>
          <a:endParaRPr lang="en-GB" b="0" i="0" sz="1000">
            <a:solidFill>
              <a:srgbClr val="000000"/>
            </a:solidFill>
            <a:latin typeface="Arial"/>
          </a:endParaRPr>
        </a:p>
        <a:p>
          <a:endParaRPr lang="en-GB" b="0" i="0" sz="1000">
            <a:solidFill>
              <a:srgbClr val="000000"/>
            </a:solidFill>
            <a:latin typeface="Arial"/>
          </a:endParaRPr>
        </a:p>
        <a:p>
          <a:r>
            <a:rPr lang="en-GB" b="1" i="0" sz="1000">
              <a:solidFill>
                <a:srgbClr val="000000"/>
              </a:solidFill>
              <a:latin typeface="Arial"/>
            </a:rPr>
            <a:t>If you wish to alter any of these figures, you will be required to provide justifiable reasons.</a:t>
          </a:r>
          <a:endParaRPr lang="en-GB" b="0" i="0" sz="1000">
            <a:solidFill>
              <a:srgbClr val="000000"/>
            </a:solidFill>
            <a:latin typeface="Arial"/>
          </a:endParaRPr>
        </a:p>
        <a:p>
          <a:r>
            <a:rPr lang="en-GB" b="0" i="0" sz="1000">
              <a:solidFill>
                <a:srgbClr val="000000"/>
              </a:solidFill>
              <a:latin typeface="Arial"/>
            </a:rPr>
            <a:t> Foundation years - select level of course as UG (undergraduate) and choose year 0.</a:t>
          </a:r>
          <a:endParaRPr lang="en-GB" b="0" i="0" sz="1000">
            <a:solidFill>
              <a:srgbClr val="000000"/>
            </a:solidFill>
            <a:latin typeface="Arial"/>
          </a:endParaRPr>
        </a:p>
        <a:p>
          <a:r>
            <a:rPr lang="en-GB" b="0" i="0" sz="1000">
              <a:solidFill>
                <a:srgbClr val="000000"/>
              </a:solidFill>
              <a:latin typeface="Arial"/>
            </a:rPr>
            <a:t> *If you are not eligible to receive a PLUS loan, this will indicate the maximum value of private loan which will be authorised.</a:t>
          </a:r>
          <a:endParaRPr lang="en-GB" b="0" i="0" sz="1000">
            <a:solidFill>
              <a:srgbClr val="000000"/>
            </a:solidFill>
            <a:latin typeface="Arial"/>
          </a:endParaRPr>
        </a:p>
        <a:p>
          <a:r>
            <a:rPr lang="en-GB" b="0" i="0" sz="1000">
              <a:solidFill>
                <a:srgbClr val="000000"/>
              </a:solidFill>
              <a:latin typeface="Arial"/>
            </a:rPr>
            <a:t> Government fees for loans disbursed on or after 1st Oct 15 and before 1st Oct 16** </a:t>
          </a:r>
          <a:endParaRPr lang="en-GB" b="0" i="0" sz="1000">
            <a:solidFill>
              <a:srgbClr val="000000"/>
            </a:solidFill>
            <a:latin typeface="Arial"/>
          </a:endParaRPr>
        </a:p>
        <a:p>
          <a:r>
            <a:rPr lang="en-GB" b="0" i="0" sz="1000">
              <a:solidFill>
                <a:srgbClr val="000000"/>
              </a:solidFill>
              <a:latin typeface="Arial"/>
            </a:rPr>
            <a:t> Subsidised Origination Fee of 1.068%</a:t>
          </a:r>
          <a:endParaRPr lang="en-GB" b="0" i="0" sz="1000">
            <a:solidFill>
              <a:srgbClr val="000000"/>
            </a:solidFill>
            <a:latin typeface="Arial"/>
          </a:endParaRPr>
        </a:p>
        <a:p>
          <a:r>
            <a:rPr lang="en-GB" b="0" i="0" sz="1000">
              <a:solidFill>
                <a:srgbClr val="000000"/>
              </a:solidFill>
              <a:latin typeface="Arial"/>
            </a:rPr>
            <a:t> Unsubsidised Origination Fee of 1.068% </a:t>
          </a:r>
          <a:endParaRPr lang="en-GB" b="0" i="0" sz="1000">
            <a:solidFill>
              <a:srgbClr val="000000"/>
            </a:solidFill>
            <a:latin typeface="Arial"/>
          </a:endParaRPr>
        </a:p>
        <a:p>
          <a:r>
            <a:rPr lang="en-GB" b="0" i="0" sz="1000">
              <a:solidFill>
                <a:srgbClr val="000000"/>
              </a:solidFill>
              <a:latin typeface="Arial"/>
            </a:rPr>
            <a:t> PLUS Loan Origination Fee of  </a:t>
          </a:r>
          <a:r>
            <a:rPr lang="en-GB" b="0" i="0" sz="1100">
              <a:solidFill>
                <a:srgbClr val="000000"/>
              </a:solidFill>
              <a:latin typeface="+mn-lt"/>
            </a:rPr>
            <a:t>4.272% </a:t>
          </a:r>
          <a:r>
            <a:rPr lang="en-GB" b="0" i="0" sz="1000">
              <a:solidFill>
                <a:srgbClr val="000000"/>
              </a:solidFill>
              <a:latin typeface="Arial"/>
            </a:rPr>
            <a:t>(adjusted up to include all fees) </a:t>
          </a:r>
          <a:endParaRPr lang="en-GB" b="0" i="0" sz="1000">
            <a:solidFill>
              <a:srgbClr val="000000"/>
            </a:solidFill>
            <a:latin typeface="Arial"/>
          </a:endParaRPr>
        </a:p>
        <a:p>
          <a:r>
            <a:rPr lang="en-GB" b="0" i="0" sz="1000">
              <a:solidFill>
                <a:srgbClr val="000000"/>
              </a:solidFill>
              <a:latin typeface="Arial"/>
            </a:rPr>
            <a:t> Interest Rates - </a:t>
          </a:r>
          <a:r>
            <a:rPr lang="en-GB" b="0" i="0" sz="1100">
              <a:solidFill>
                <a:srgbClr val="000000"/>
              </a:solidFill>
              <a:latin typeface="+mn-lt"/>
            </a:rPr>
            <a:t> Sub loan rate of 4.29% Unsub Loans Rate  4.29% </a:t>
          </a:r>
          <a:r>
            <a:rPr lang="en-GB" b="0" i="0" sz="1000">
              <a:solidFill>
                <a:srgbClr val="000000"/>
              </a:solidFill>
              <a:latin typeface="Arial"/>
            </a:rPr>
            <a:t>and Plus Loan </a:t>
          </a:r>
          <a:r>
            <a:rPr lang="en-GB" b="0" i="0" sz="1100">
              <a:solidFill>
                <a:srgbClr val="000000"/>
              </a:solidFill>
              <a:latin typeface="+mn-lt"/>
            </a:rPr>
            <a:t>of 6.84% </a:t>
          </a:r>
          <a:endParaRPr lang="en-GB" b="0" i="0" sz="1000">
            <a:solidFill>
              <a:srgbClr val="000000"/>
            </a:solidFill>
            <a:latin typeface="Arial"/>
          </a:endParaRPr>
        </a:p>
        <a:p>
          <a:r>
            <a:rPr lang="en-GB" b="0" i="0" sz="1000">
              <a:solidFill>
                <a:srgbClr val="000000"/>
              </a:solidFill>
              <a:latin typeface="Arial"/>
            </a:rPr>
            <a:t> We will check everything you have provided with the USDE data and regulations. If everything is correct we will originate your loans and issue a certificate for visa application.</a:t>
          </a:r>
          <a:endParaRPr lang="en-GB" b="1" i="0" sz="1000">
            <a:solidFill>
              <a:srgbClr val="000000"/>
            </a:solidFill>
            <a:latin typeface="Arial"/>
          </a:endParaRPr>
        </a:p>
      </xdr:txBody>
    </xdr:sp>
    <xdr:clientData/>
  </xdr:twoCellAnchor>
  <xdr:twoCellAnchor>
    <xdr:from>
      <xdr:col>6</xdr:col>
      <xdr:colOff>666750</xdr:colOff>
      <xdr:row>45</xdr:row>
      <xdr:rowOff>28575</xdr:rowOff>
    </xdr:from>
    <xdr:to>
      <xdr:col>6</xdr:col>
      <xdr:colOff>857250</xdr:colOff>
      <xdr:row>46</xdr:row>
      <xdr:rowOff>142875</xdr:rowOff>
    </xdr:to>
    <xdr:sp>
      <xdr:nvSpPr>
        <xdr:cNvPr id="6" name="AutoShape 30"/>
        <xdr:cNvSpPr/>
      </xdr:nvSpPr>
      <xdr:spPr>
        <a:xfrm>
          <a:off x="0" y="0"/>
          <a:ext cx="0" cy="0"/>
        </a:xfrm>
        <a:prstGeom prst="star5">
          <a:avLst xmlns:a="http://schemas.openxmlformats.org/drawingml/2006/main"/>
        </a:prstGeom>
        <a:solidFill xmlns:a="http://schemas.openxmlformats.org/drawingml/2006/main">
          <a:schemeClr val="accent4">
            <a:lumMod val="20000"/>
            <a:lumOff val="80000"/>
          </a:schemeClr>
        </a:solidFill>
        <a:ln xmlns:a="http://schemas.openxmlformats.org/drawingml/2006/main" w="9525">
          <a:solidFill>
            <a:srgbClr val="FF9900"/>
          </a:solidFill>
          <a:miter lim="800000"/>
          <a:headEnd/>
          <a:tailEnd/>
        </a:ln>
      </xdr:spPr>
      <xdr:txBody xmlns:xdr="http://schemas.openxmlformats.org/drawingml/2006/spreadsheetDrawing">
        <a:bodyPr xmlns:a="http://schemas.openxmlformats.org/drawingml/2006/main"/>
        <a:lstStyle xmlns:a="http://schemas.openxmlformats.org/drawingml/2006/main"/>
        <a:p xmlns:a="http://schemas.openxmlformats.org/drawingml/2006/main">
          <a:endParaRPr lang="en-GB"/>
        </a:p>
      </xdr:txBody>
    </xdr:sp>
    <xdr:clientData/>
  </xdr:twoCellAnchor>
  <xdr:twoCellAnchor>
    <xdr:from>
      <xdr:col>1</xdr:col>
      <xdr:colOff>0</xdr:colOff>
      <xdr:row>45</xdr:row>
      <xdr:rowOff>47625</xdr:rowOff>
    </xdr:from>
    <xdr:to>
      <xdr:col>1</xdr:col>
      <xdr:colOff>171450</xdr:colOff>
      <xdr:row>46</xdr:row>
      <xdr:rowOff>161925</xdr:rowOff>
    </xdr:to>
    <xdr:sp>
      <xdr:nvSpPr>
        <xdr:cNvPr id="7" name="AutoShape 31"/>
        <xdr:cNvSpPr/>
      </xdr:nvSpPr>
      <xdr:spPr>
        <a:xfrm>
          <a:off x="0" y="0"/>
          <a:ext cx="0" cy="0"/>
        </a:xfrm>
        <a:prstGeom prst="star5">
          <a:avLst xmlns:a="http://schemas.openxmlformats.org/drawingml/2006/main"/>
        </a:prstGeom>
        <a:solidFill xmlns:a="http://schemas.openxmlformats.org/drawingml/2006/main">
          <a:schemeClr val="accent4">
            <a:lumMod val="20000"/>
            <a:lumOff val="80000"/>
          </a:schemeClr>
        </a:solidFill>
        <a:ln xmlns:a="http://schemas.openxmlformats.org/drawingml/2006/main" w="9525">
          <a:solidFill>
            <a:srgbClr val="FF9900"/>
          </a:solidFill>
          <a:miter lim="800000"/>
          <a:headEnd/>
          <a:tailEnd/>
        </a:ln>
      </xdr:spPr>
      <xdr:txBody xmlns:xdr="http://schemas.openxmlformats.org/drawingml/2006/spreadsheetDrawing">
        <a:bodyPr xmlns:a="http://schemas.openxmlformats.org/drawingml/2006/main"/>
        <a:lstStyle xmlns:a="http://schemas.openxmlformats.org/drawingml/2006/main"/>
        <a:p xmlns:a="http://schemas.openxmlformats.org/drawingml/2006/main">
          <a:endParaRPr lang="en-GB"/>
        </a:p>
      </xdr:txBody>
    </xdr:sp>
    <xdr:clientData/>
  </xdr:twoCellAnchor>
  <xdr:twoCellAnchor editAs="oneCell">
    <xdr:from>
      <xdr:col>8</xdr:col>
      <xdr:colOff>142875</xdr:colOff>
      <xdr:row>0</xdr:row>
      <xdr:rowOff>85725</xdr:rowOff>
    </xdr:from>
    <xdr:to>
      <xdr:col>10</xdr:col>
      <xdr:colOff>1199927</xdr:colOff>
      <xdr:row>5</xdr:row>
      <xdr:rowOff>71437</xdr:rowOff>
    </xdr:to>
    <xdr:pic>
      <xdr:nvPicPr>
        <xdr:cNvPr id="9" name="Picture 8" descr="solent_logo369x140x24.jpg"/>
        <xdr:cNvPicPr>
          <a:picLocks noChangeAspect="1"/>
        </xdr:cNvPicPr>
      </xdr:nvPicPr>
      <xdr:blipFill>
        <a:blip xmlns:d5p1="http://schemas.openxmlformats.org/officeDocument/2006/relationships" d5p1:embed="rId1"/>
        <a:srcRect/>
        <a:stretch>
          <a:fillRect/>
        </a:stretch>
      </xdr:blipFill>
      <xdr:spPr xmlns:xdr="http://schemas.openxmlformats.org/drawingml/2006/spreadsheetDrawing">
        <a:xfrm xmlns:a="http://schemas.openxmlformats.org/drawingml/2006/main">
          <a:off x="5943600" y="85725"/>
          <a:ext cx="2714625" cy="966853"/>
        </a:xfrm>
        <a:prstGeom xmlns:a="http://schemas.openxmlformats.org/drawingml/2006/main" prst="rect">
          <a:avLst/>
        </a:prstGeom>
      </xdr:spPr>
    </xdr:pic>
    <xdr:clientData/>
  </xdr:twoCellAnchor>
  <xdr:twoCellAnchor editAs="twoCell">
    <xdr:from>
      <xdr:col>1</xdr:col>
      <xdr:colOff>0</xdr:colOff>
      <xdr:row>2</xdr:row>
      <xdr:rowOff>85725</xdr:rowOff>
    </xdr:from>
    <xdr:to>
      <xdr:col>7</xdr:col>
      <xdr:colOff>19078</xdr:colOff>
      <xdr:row>6</xdr:row>
      <xdr:rowOff>19050</xdr:rowOff>
    </xdr:to>
    <xdr:sp>
      <xdr:nvSpPr>
        <xdr:cNvPr id="15" name="TextBox 14"/>
        <xdr:cNvSpPr txBox="1"/>
      </xdr:nvSpPr>
      <xdr:spPr>
        <a:xfrm>
          <a:off x="95250" y="600074"/>
          <a:ext cx="5657850" cy="581025"/>
        </a:xfrm>
        <a:prstGeom prst="rect">
          <a:avLst/>
        </a:prstGeom>
        <a:solidFill>
          <a:srgbClr val="FFFFFF"/>
        </a:solidFill>
        <a:ln w="12700" cmpd="sng">
          <a:solidFill>
            <a:srgbClr val="7F7F7F"/>
          </a:solidFill>
          <a:headEnd type="none" w="med" len="med"/>
          <a:tailEnd type="none" w="med" len="med"/>
        </a:ln>
      </xdr:spPr>
      <xdr:txBody>
        <a:bodyPr wrap="square" rtlCol="0"/>
        <a:lstStyle/>
        <a:p>
          <a:pPr/>
          <a:r>
            <a:rPr lang="en-GB" b="0" i="0" sz="900">
              <a:solidFill>
                <a:srgbClr val="000000"/>
              </a:solidFill>
              <a:latin typeface="Arial"/>
            </a:rPr>
            <a:t>You should complete all the blue boxes. The amount that you are eligible to borrow will appear in Box A. Enter the amounts you would like to borrow into Box B. The loan amounts in Box B cannot exceed the eligible amounts in Box A (except for the addition of the optional extra 4% to the PLUS loan).</a:t>
          </a:r>
          <a:endParaRPr lang="en-GB" b="0" i="0" sz="900">
            <a:solidFill>
              <a:srgbClr val="000000"/>
            </a:solidFill>
            <a:latin typeface="Arial"/>
          </a:endParaRPr>
        </a:p>
      </xdr:txBody>
    </xdr:sp>
    <xdr:clientData/>
  </xdr:twoCellAnchor>
  <xdr:twoCellAnchor editAs="twoCell">
    <xdr:from>
      <xdr:col>9</xdr:col>
      <xdr:colOff>28101</xdr:colOff>
      <xdr:row>41</xdr:row>
      <xdr:rowOff>104775</xdr:rowOff>
    </xdr:from>
    <xdr:to>
      <xdr:col>11</xdr:col>
      <xdr:colOff>629227</xdr:colOff>
      <xdr:row>51</xdr:row>
      <xdr:rowOff>85725</xdr:rowOff>
    </xdr:to>
    <xdr:sp>
      <xdr:nvSpPr>
        <xdr:cNvPr id="8" name="TextBox 7"/>
        <xdr:cNvSpPr txBox="1"/>
      </xdr:nvSpPr>
      <xdr:spPr>
        <a:xfrm>
          <a:off x="6600825" y="6867525"/>
          <a:ext cx="3543300" cy="1724025"/>
        </a:xfrm>
        <a:prstGeom prst="rect">
          <a:avLst/>
        </a:prstGeom>
        <a:solidFill>
          <a:srgbClr val="C00000"/>
        </a:solidFill>
        <a:ln w="12700" cmpd="sng">
          <a:solidFill>
            <a:srgbClr val="7F7F7F"/>
          </a:solidFill>
          <a:headEnd type="none" w="med" len="med"/>
          <a:tailEnd type="none" w="med" len="med"/>
        </a:ln>
      </xdr:spPr>
      <xdr:txBody>
        <a:bodyPr wrap="square" rtlCol="0"/>
        <a:lstStyle/>
        <a:p>
          <a:pPr algn="ctr"/>
          <a:r>
            <a:rPr lang="en-GB" b="1" i="0" sz="1000" u="sng">
              <a:solidFill>
                <a:srgbClr val="FFFFFF"/>
              </a:solidFill>
              <a:latin typeface="Arial"/>
            </a:rPr>
            <a:t>Working out how much you will receive</a:t>
          </a:r>
          <a:endParaRPr lang="en-GB" b="1" i="0" sz="1000" u="sng">
            <a:solidFill>
              <a:srgbClr val="FFFFFF"/>
            </a:solidFill>
            <a:latin typeface="Arial"/>
          </a:endParaRPr>
        </a:p>
        <a:p>
          <a:endParaRPr lang="en-GB" b="1" i="0" sz="1000">
            <a:solidFill>
              <a:srgbClr val="FFFFFF"/>
            </a:solidFill>
            <a:latin typeface="Arial"/>
          </a:endParaRPr>
        </a:p>
        <a:p>
          <a:r>
            <a:rPr lang="en-GB" b="1" i="0" sz="1000">
              <a:solidFill>
                <a:srgbClr val="FFFFFF"/>
              </a:solidFill>
              <a:latin typeface="Arial"/>
            </a:rPr>
            <a:t> Max allowed is the maximum you may borrow, under each heading. </a:t>
          </a:r>
          <a:endParaRPr lang="en-GB" b="1" i="0" sz="1000">
            <a:solidFill>
              <a:srgbClr val="FFFFFF"/>
            </a:solidFill>
            <a:latin typeface="Arial"/>
          </a:endParaRPr>
        </a:p>
        <a:p>
          <a:r>
            <a:rPr lang="en-GB" b="1" i="0" sz="1000">
              <a:solidFill>
                <a:srgbClr val="FFFFFF"/>
              </a:solidFill>
              <a:latin typeface="Arial"/>
            </a:rPr>
            <a:t> Govt fees is the fees that have been added to each heading already.</a:t>
          </a:r>
          <a:endParaRPr lang="en-GB" b="1" i="0" sz="1000">
            <a:solidFill>
              <a:srgbClr val="FFFFFF"/>
            </a:solidFill>
            <a:latin typeface="Arial"/>
          </a:endParaRPr>
        </a:p>
        <a:p>
          <a:r>
            <a:rPr lang="en-GB" b="1" i="0" sz="1000">
              <a:solidFill>
                <a:srgbClr val="FFFFFF"/>
              </a:solidFill>
              <a:latin typeface="Arial"/>
            </a:rPr>
            <a:t> Request is how much you wish to borrow, and must NOT exceed the maximum allowed.  </a:t>
          </a:r>
          <a:endParaRPr lang="en-GB" b="1" i="0" sz="1000">
            <a:solidFill>
              <a:srgbClr val="FFFFFF"/>
            </a:solidFill>
            <a:latin typeface="Arial"/>
          </a:endParaRPr>
        </a:p>
        <a:p>
          <a:r>
            <a:rPr lang="en-GB" b="1" i="0" sz="1000">
              <a:solidFill>
                <a:srgbClr val="FFFFFF"/>
              </a:solidFill>
              <a:latin typeface="Arial"/>
            </a:rPr>
            <a:t> If you do not wish to borrow the fees as well, you can reduce the Max allowed totals by the Govt fees.</a:t>
          </a:r>
          <a:endParaRPr lang="en-GB" b="1" i="0" sz="1000">
            <a:solidFill>
              <a:srgbClr val="FFFFFF"/>
            </a:solidFill>
            <a:latin typeface="Arial"/>
          </a:endParaRPr>
        </a:p>
        <a:p>
          <a:r>
            <a:rPr lang="en-GB" b="1" i="0" sz="1000">
              <a:solidFill>
                <a:srgbClr val="FFFFFF"/>
              </a:solidFill>
              <a:latin typeface="Arial"/>
            </a:rPr>
            <a:t> The last column shows what you will receive in total.</a:t>
          </a:r>
          <a:endParaRPr lang="en-GB" b="1" i="0" sz="1000" u="sng">
            <a:solidFill>
              <a:srgbClr val="FFFFFF"/>
            </a:solidFill>
            <a:latin typeface="Arial"/>
          </a:endParaRPr>
        </a:p>
      </xdr:txBody>
    </xdr:sp>
    <xdr:clientData/>
  </xdr:twoCellAnchor>
  <xdr:twoCellAnchor>
    <xdr:from>
      <xdr:col>9</xdr:col>
      <xdr:colOff>66675</xdr:colOff>
      <xdr:row>39</xdr:row>
      <xdr:rowOff>28575</xdr:rowOff>
    </xdr:from>
    <xdr:to>
      <xdr:col>9</xdr:col>
      <xdr:colOff>257175</xdr:colOff>
      <xdr:row>40</xdr:row>
      <xdr:rowOff>19050</xdr:rowOff>
    </xdr:to>
    <xdr:sp>
      <xdr:nvSpPr>
        <xdr:cNvPr id="10" name="AutoShape 30"/>
        <xdr:cNvSpPr/>
      </xdr:nvSpPr>
      <xdr:spPr>
        <a:xfrm>
          <a:off x="0" y="0"/>
          <a:ext cx="0" cy="0"/>
        </a:xfrm>
        <a:prstGeom prst="star5">
          <a:avLst xmlns:a="http://schemas.openxmlformats.org/drawingml/2006/main"/>
        </a:prstGeom>
        <a:solidFill xmlns:a="http://schemas.openxmlformats.org/drawingml/2006/main">
          <a:schemeClr val="accent4">
            <a:lumMod val="20000"/>
            <a:lumOff val="80000"/>
          </a:schemeClr>
        </a:solidFill>
        <a:ln xmlns:a="http://schemas.openxmlformats.org/drawingml/2006/main" w="9525">
          <a:solidFill>
            <a:srgbClr val="FF9900"/>
          </a:solidFill>
          <a:miter lim="800000"/>
          <a:headEnd/>
          <a:tailEnd/>
        </a:ln>
      </xdr:spPr>
      <xdr:txBody xmlns:xdr="http://schemas.openxmlformats.org/drawingml/2006/spreadsheetDrawing">
        <a:bodyPr xmlns:a="http://schemas.openxmlformats.org/drawingml/2006/main"/>
        <a:lstStyle xmlns:a="http://schemas.openxmlformats.org/drawingml/2006/main"/>
        <a:p xmlns:a="http://schemas.openxmlformats.org/drawingml/2006/main">
          <a:endParaRPr lang="en-GB"/>
        </a:p>
      </xdr:txBody>
    </xdr:sp>
    <xdr:clientData/>
  </xdr:twoCellAnchor>
  <xdr:twoCellAnchor>
    <xdr:from>
      <xdr:col>11</xdr:col>
      <xdr:colOff>371475</xdr:colOff>
      <xdr:row>39</xdr:row>
      <xdr:rowOff>47625</xdr:rowOff>
    </xdr:from>
    <xdr:to>
      <xdr:col>11</xdr:col>
      <xdr:colOff>561975</xdr:colOff>
      <xdr:row>40</xdr:row>
      <xdr:rowOff>38100</xdr:rowOff>
    </xdr:to>
    <xdr:sp>
      <xdr:nvSpPr>
        <xdr:cNvPr id="11" name="AutoShape 30"/>
        <xdr:cNvSpPr/>
      </xdr:nvSpPr>
      <xdr:spPr>
        <a:xfrm>
          <a:off x="0" y="0"/>
          <a:ext cx="0" cy="0"/>
        </a:xfrm>
        <a:prstGeom prst="star5">
          <a:avLst xmlns:a="http://schemas.openxmlformats.org/drawingml/2006/main"/>
        </a:prstGeom>
        <a:solidFill xmlns:a="http://schemas.openxmlformats.org/drawingml/2006/main">
          <a:schemeClr val="accent4">
            <a:lumMod val="20000"/>
            <a:lumOff val="80000"/>
          </a:schemeClr>
        </a:solidFill>
        <a:ln xmlns:a="http://schemas.openxmlformats.org/drawingml/2006/main" w="9525">
          <a:solidFill>
            <a:srgbClr val="FF9900"/>
          </a:solidFill>
          <a:miter lim="800000"/>
          <a:headEnd/>
          <a:tailEnd/>
        </a:ln>
      </xdr:spPr>
      <xdr:txBody xmlns:xdr="http://schemas.openxmlformats.org/drawingml/2006/spreadsheetDrawing">
        <a:bodyPr xmlns:a="http://schemas.openxmlformats.org/drawingml/2006/main"/>
        <a:lstStyle xmlns:a="http://schemas.openxmlformats.org/drawingml/2006/main"/>
        <a:p xmlns:a="http://schemas.openxmlformats.org/drawingml/2006/main">
          <a:endParaRPr lang="en-GB"/>
        </a:p>
      </xdr:txBody>
    </xdr:sp>
    <xdr:clientData/>
  </xdr:twoCellAnchor>
</xdr:wsDr>
</file>

<file path=xl/drawings/drawing3.xml><?xml version="1.0" encoding="utf-8"?>
<xdr:wsDr xmlns:xdr="http://schemas.openxmlformats.org/drawingml/2006/spreadsheetDrawing" xmlns:a="http://schemas.openxmlformats.org/drawingml/2006/main">
  <xdr:twoCellAnchor editAs="twoCell">
    <xdr:from>
      <xdr:col>1</xdr:col>
      <xdr:colOff>38574</xdr:colOff>
      <xdr:row>2</xdr:row>
      <xdr:rowOff>47625</xdr:rowOff>
    </xdr:from>
    <xdr:to>
      <xdr:col>3</xdr:col>
      <xdr:colOff>5841039</xdr:colOff>
      <xdr:row>4</xdr:row>
      <xdr:rowOff>133350</xdr:rowOff>
    </xdr:to>
    <xdr:sp>
      <xdr:nvSpPr>
        <xdr:cNvPr id="2" name="TextBox 1"/>
        <xdr:cNvSpPr txBox="1"/>
      </xdr:nvSpPr>
      <xdr:spPr>
        <a:xfrm>
          <a:off x="161925" y="285750"/>
          <a:ext cx="10363200" cy="466725"/>
        </a:xfrm>
        <a:prstGeom prst="rect">
          <a:avLst/>
        </a:prstGeom>
        <a:solidFill>
          <a:srgbClr val="FFFFFF"/>
        </a:solidFill>
        <a:ln w="12700" cmpd="sng">
          <a:solidFill>
            <a:srgbClr val="7F7F7F"/>
          </a:solidFill>
          <a:headEnd type="none" w="med" len="med"/>
          <a:tailEnd type="none" w="med" len="med"/>
        </a:ln>
      </xdr:spPr>
      <xdr:txBody>
        <a:bodyPr wrap="square" rtlCol="0"/>
        <a:lstStyle/>
        <a:p>
          <a:pPr/>
          <a:r>
            <a:rPr lang="en-GB" b="0" i="0" sz="1100">
              <a:solidFill>
                <a:srgbClr val="000000"/>
              </a:solidFill>
            </a:rPr>
            <a:t>Please select 'Yes' or 'No' from the drop down list in the 'Response' column for each question. Once you have completed the worksheet, no red error messages should be displayed. If they are, please resolve the issue before sending your COA spreadsheet to us.</a:t>
          </a:r>
          <a:endParaRPr lang="en-GB" b="0" i="0" sz="1100">
            <a:solidFill>
              <a:srgbClr val="000000"/>
            </a:solidFill>
          </a:endParaRPr>
        </a:p>
      </xdr:txBody>
    </xdr:sp>
    <xdr:clientData/>
  </xdr:twoCellAnchor>
  <xdr:twoCellAnchor editAs="oneCell">
    <xdr:from>
      <xdr:col>1</xdr:col>
      <xdr:colOff>28054</xdr:colOff>
      <xdr:row>0</xdr:row>
      <xdr:rowOff>59055</xdr:rowOff>
    </xdr:from>
    <xdr:to>
      <xdr:col>1</xdr:col>
      <xdr:colOff>2388105</xdr:colOff>
      <xdr:row>0</xdr:row>
      <xdr:rowOff>953452</xdr:rowOff>
    </xdr:to>
    <xdr:pic>
      <xdr:nvPicPr>
        <xdr:cNvPr id="3" name="Picture 2" descr="solent_logo369x140x24.jpg"/>
        <xdr:cNvPicPr>
          <a:picLocks noChangeAspect="1"/>
        </xdr:cNvPicPr>
      </xdr:nvPicPr>
      <xdr:blipFill>
        <a:blip xmlns:d5p1="http://schemas.openxmlformats.org/officeDocument/2006/relationships" d5p1:embed="rId1"/>
        <a:srcRect/>
        <a:stretch>
          <a:fillRect/>
        </a:stretch>
      </xdr:blipFill>
      <xdr:spPr xmlns:xdr="http://schemas.openxmlformats.org/drawingml/2006/spreadsheetDrawing">
        <a:xfrm xmlns:a="http://schemas.openxmlformats.org/drawingml/2006/main">
          <a:off x="152400" y="57150"/>
          <a:ext cx="2359887" cy="895350"/>
        </a:xfrm>
        <a:prstGeom xmlns:a="http://schemas.openxmlformats.org/drawingml/2006/main"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95101</xdr:colOff>
      <xdr:row>1</xdr:row>
      <xdr:rowOff>47625</xdr:rowOff>
    </xdr:from>
    <xdr:to>
      <xdr:col>2</xdr:col>
      <xdr:colOff>2372246</xdr:colOff>
      <xdr:row>5</xdr:row>
      <xdr:rowOff>161925</xdr:rowOff>
    </xdr:to>
    <xdr:pic>
      <xdr:nvPicPr>
        <xdr:cNvPr id="2" name="Picture 80" descr="http://studygeography.rgs.org/University%20Logos/Southampton%20Solent%20University.jpg"/>
        <xdr:cNvPicPr>
          <a:picLocks noChangeAspect="1"/>
        </xdr:cNvPicPr>
      </xdr:nvPicPr>
      <xdr:blipFill>
        <a:blip xmlns:d5p1="http://schemas.openxmlformats.org/officeDocument/2006/relationships" d5p1:embed="rId1"/>
        <a:srcRect xmlns:a="http://schemas.openxmlformats.org/drawingml/2006/main"/>
        <a:stretch>
          <a:fillRect/>
        </a:stretch>
      </xdr:blipFill>
      <xdr:spPr xmlns:xdr="http://schemas.openxmlformats.org/drawingml/2006/spreadsheetDrawing" bwMode="auto">
        <a:xfrm xmlns:a="http://schemas.openxmlformats.org/drawingml/2006/main">
          <a:off x="2857500" y="238125"/>
          <a:ext cx="2276476" cy="904883"/>
        </a:xfrm>
        <a:prstGeom xmlns:a="http://schemas.openxmlformats.org/drawingml/2006/main" prst="rect">
          <a:avLst/>
        </a:prstGeom>
        <a:noFill xmlns:a="http://schemas.openxmlformats.org/drawingml/2006/main"/>
      </xdr:spPr>
    </xdr:pic>
    <xdr:clientData/>
  </xdr:twoCellAnchor>
  <xdr:twoCellAnchor editAs="oneCell">
    <xdr:from>
      <xdr:col>2</xdr:col>
      <xdr:colOff>1854473</xdr:colOff>
      <xdr:row>42</xdr:row>
      <xdr:rowOff>25717</xdr:rowOff>
    </xdr:from>
    <xdr:to>
      <xdr:col>2</xdr:col>
      <xdr:colOff>1859756</xdr:colOff>
      <xdr:row>54</xdr:row>
      <xdr:rowOff>59055</xdr:rowOff>
    </xdr:to>
    <xdr:pic>
      <xdr:nvPicPr>
        <xdr:cNvPr id="3" name="Picture 80" descr="http://studygeography.rgs.org/University%20Logos/Southampton%20Solent%20University.jpg"/>
        <xdr:cNvPicPr>
          <a:picLocks noChangeAspect="1"/>
        </xdr:cNvPicPr>
      </xdr:nvPicPr>
      <xdr:blipFill>
        <a:blip xmlns:d5p1="http://schemas.openxmlformats.org/officeDocument/2006/relationships" d5p1:embed="rId2">
          <a:duotone xmlns:a="http://schemas.openxmlformats.org/drawingml/2006/main">
            <a:schemeClr val="bg2">
              <a:shade val="45000"/>
              <a:satMod val="135000"/>
            </a:schemeClr>
            <a:prstClr val="white"/>
          </a:duotone>
        </a:blip>
        <a:srcRect xmlns:a="http://schemas.openxmlformats.org/drawingml/2006/main" r="61538"/>
        <a:stretch>
          <a:fillRect/>
        </a:stretch>
      </xdr:blipFill>
      <xdr:spPr xmlns:xdr="http://schemas.openxmlformats.org/drawingml/2006/spreadsheetDrawing" bwMode="auto">
        <a:xfrm xmlns:a="http://schemas.openxmlformats.org/drawingml/2006/main">
          <a:off x="3806825" y="10074274"/>
          <a:ext cx="2197100" cy="2100047"/>
        </a:xfrm>
        <a:prstGeom xmlns:a="http://schemas.openxmlformats.org/drawingml/2006/main" prst="rect">
          <a:avLst/>
        </a:prstGeom>
        <a:noFill xmlns:a="http://schemas.openxmlformats.org/drawingml/2006/main"/>
      </xdr:spPr>
    </xdr:pic>
    <xdr:clientData/>
  </xdr:twoCellAnchor>
  <xdr:twoCellAnchor editAs="oneCell">
    <xdr:from>
      <xdr:col>2</xdr:col>
      <xdr:colOff>200769</xdr:colOff>
      <xdr:row>42</xdr:row>
      <xdr:rowOff>180975</xdr:rowOff>
    </xdr:from>
    <xdr:to>
      <xdr:col>2</xdr:col>
      <xdr:colOff>2504331</xdr:colOff>
      <xdr:row>48</xdr:row>
      <xdr:rowOff>93345</xdr:rowOff>
    </xdr:to>
    <xdr:pic>
      <xdr:nvPicPr>
        <xdr:cNvPr id="4" name="Picture 80" descr="http://studygeography.rgs.org/University%20Logos/Southampton%20Solent%20University.jpg"/>
        <xdr:cNvPicPr>
          <a:picLocks noChangeAspect="1"/>
        </xdr:cNvPicPr>
      </xdr:nvPicPr>
      <xdr:blipFill>
        <a:blip xmlns:d5p1="http://schemas.openxmlformats.org/officeDocument/2006/relationships" d5p1:embed="rId1">
          <a:duotone xmlns:a="http://schemas.openxmlformats.org/drawingml/2006/main">
            <a:schemeClr val="bg2">
              <a:shade val="45000"/>
              <a:satMod val="135000"/>
            </a:schemeClr>
            <a:prstClr val="white"/>
          </a:duotone>
        </a:blip>
        <a:srcRect xmlns:a="http://schemas.openxmlformats.org/drawingml/2006/main"/>
        <a:stretch>
          <a:fillRect/>
        </a:stretch>
      </xdr:blipFill>
      <xdr:spPr xmlns:xdr="http://schemas.openxmlformats.org/drawingml/2006/spreadsheetDrawing" bwMode="auto">
        <a:xfrm xmlns:a="http://schemas.openxmlformats.org/drawingml/2006/main">
          <a:off x="2962276" y="7715250"/>
          <a:ext cx="2305050" cy="922133"/>
        </a:xfrm>
        <a:prstGeom xmlns:a="http://schemas.openxmlformats.org/drawingml/2006/main" prst="rect">
          <a:avLst/>
        </a:prstGeom>
        <a:noFill xmlns:a="http://schemas.openxmlformats.org/drawingml/2006/mai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drawing" Target="/xl/drawings/drawing1.xml" /><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2" Type="http://schemas.openxmlformats.org/officeDocument/2006/relationships/drawing" Target="/xl/drawings/drawing2.xml" /><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2" Type="http://schemas.openxmlformats.org/officeDocument/2006/relationships/drawing" Target="/xl/drawings/drawing3.xml" /><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2" Type="http://schemas.openxmlformats.org/officeDocument/2006/relationships/drawing" Target="/xl/drawings/drawing4.xml" /><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B1:D53"/>
  <sheetViews>
    <sheetView showGridLines="0" showRowColHeaders="0" view="normal" workbookViewId="0">
      <selection pane="topLeft" activeCell="B13" sqref="B13"/>
    </sheetView>
  </sheetViews>
  <sheetFormatPr defaultRowHeight="15" baseColWidth="0"/>
  <cols>
    <col min="1" max="1" width="2.41796875" customWidth="1"/>
    <col min="2" max="2" width="101.5703125" customWidth="1"/>
    <col min="3" max="3" width="1.84765625" customWidth="1"/>
  </cols>
  <sheetData>
    <row r="1" ht="11.25" customHeight="1"/>
    <row r="2" ht="76.5" customHeight="1" thickBot="1"/>
    <row r="3" spans="2:2">
      <c r="B3" s="142" t="s">
        <v>25</v>
      </c>
    </row>
    <row r="4" spans="2:2" ht="30.75" customHeight="1">
      <c r="B4" s="143" t="s">
        <v>61</v>
      </c>
    </row>
    <row r="5" spans="2:2">
      <c r="B5" s="2" t="s">
        <v>109</v>
      </c>
    </row>
    <row r="6" spans="2:2" ht="9" customHeight="1">
      <c r="B6" s="2"/>
    </row>
    <row r="7" spans="2:2">
      <c r="B7" s="143" t="s">
        <v>87</v>
      </c>
    </row>
    <row r="8" spans="2:2">
      <c r="B8" s="144" t="s">
        <v>69</v>
      </c>
    </row>
    <row r="9" spans="2:2">
      <c r="B9" s="144" t="s">
        <v>26</v>
      </c>
    </row>
    <row r="10" spans="2:2">
      <c r="B10" s="144" t="s">
        <v>131</v>
      </c>
    </row>
    <row r="11" spans="2:2" ht="8.25" customHeight="1">
      <c r="B11" s="143"/>
    </row>
    <row r="12" spans="2:2">
      <c r="B12" s="145" t="s">
        <v>27</v>
      </c>
    </row>
    <row r="13" spans="2:2">
      <c r="B13" s="237" t="s">
        <v>111</v>
      </c>
    </row>
    <row r="14" spans="2:2" ht="15.75" thickBot="1">
      <c r="B14" s="146" t="s">
        <v>248</v>
      </c>
    </row>
    <row r="15" spans="2:2" ht="9" customHeight="1" thickBot="1">
      <c r="B15" s="147"/>
    </row>
    <row r="16" spans="2:2">
      <c r="B16" s="142" t="s">
        <v>28</v>
      </c>
    </row>
    <row r="17" spans="2:2">
      <c r="B17" s="565" t="s">
        <v>29</v>
      </c>
    </row>
    <row r="18" spans="2:2">
      <c r="B18" s="565" t="s">
        <v>30</v>
      </c>
    </row>
    <row r="19" spans="2:2" ht="22.5">
      <c r="B19" s="565" t="s">
        <v>31</v>
      </c>
    </row>
    <row r="20" spans="2:2" ht="6" customHeight="1">
      <c r="B20" s="566"/>
    </row>
    <row r="21" spans="2:2">
      <c r="B21" s="575" t="s">
        <v>249</v>
      </c>
    </row>
    <row r="22" spans="2:2">
      <c r="B22" s="575"/>
    </row>
    <row r="23" spans="2:2" ht="15.75" thickBot="1">
      <c r="B23" s="576"/>
    </row>
    <row r="24" spans="2:2" ht="6.75" customHeight="1" thickBot="1">
      <c r="B24" s="148"/>
    </row>
    <row r="25" spans="2:2">
      <c r="B25" s="150" t="s">
        <v>32</v>
      </c>
    </row>
    <row r="26" spans="2:2" ht="42.75" customHeight="1" thickBot="1">
      <c r="B26" s="151" t="s">
        <v>33</v>
      </c>
    </row>
    <row r="27" spans="2:2" ht="6.75" customHeight="1" thickBot="1">
      <c r="B27" s="152"/>
    </row>
    <row r="28" spans="2:2" customHeight="1">
      <c r="B28" s="142" t="s">
        <v>34</v>
      </c>
    </row>
    <row r="29" spans="2:2">
      <c r="B29" s="149" t="s">
        <v>112</v>
      </c>
    </row>
    <row r="30" spans="2:2">
      <c r="B30" s="149" t="s">
        <v>113</v>
      </c>
    </row>
    <row r="31" spans="2:2">
      <c r="B31" s="149" t="s">
        <v>232</v>
      </c>
    </row>
    <row r="32" spans="2:4" ht="15.75" thickBot="1">
      <c r="B32" s="460" t="s">
        <v>233</v>
      </c>
      <c r="C32" s="238"/>
      <c r="D32" s="238"/>
    </row>
    <row r="33" spans="2:4">
      <c r="B33" s="239"/>
      <c r="C33" s="238"/>
      <c r="D33" s="238"/>
    </row>
    <row r="34" spans="2:4">
      <c r="B34" s="239"/>
      <c r="C34" s="238"/>
      <c r="D34" s="238"/>
    </row>
    <row r="35" spans="2:4">
      <c r="B35" s="239"/>
      <c r="C35" s="238"/>
      <c r="D35" s="238"/>
    </row>
    <row r="36" spans="2:4">
      <c r="B36" s="238"/>
      <c r="C36" s="238"/>
      <c r="D36" s="238"/>
    </row>
    <row r="37" spans="2:4">
      <c r="B37" s="240"/>
      <c r="C37" s="238"/>
      <c r="D37" s="238"/>
    </row>
    <row r="53" spans="2:2">
      <c r="B53" s="4"/>
    </row>
  </sheetData>
  <mergeCells count="1">
    <mergeCell ref="B21:B23"/>
  </mergeCells>
  <pageMargins left="0.7" right="0.7" top="0.75" bottom="0.75" header="0.3" footer="0.3"/>
  <pageSetup paperSize="9" orientation="portrait"/>
  <drawing r:id="rId2"/>
</worksheet>
</file>

<file path=xl/worksheets/sheet2.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AC88"/>
  <sheetViews>
    <sheetView showGridLines="0" view="normal" workbookViewId="0">
      <selection pane="topLeft" activeCell="C51" sqref="C51"/>
    </sheetView>
  </sheetViews>
  <sheetFormatPr defaultRowHeight="15" baseColWidth="0"/>
  <cols>
    <col min="1" max="1" width="1.42578125" customWidth="1"/>
    <col min="2" max="2" width="23" customWidth="1"/>
    <col min="3" max="3" width="12.7109375" customWidth="1"/>
    <col min="4" max="4" width="11.140625" customWidth="1"/>
    <col min="5" max="5" width="21" customWidth="1"/>
    <col min="6" max="6" width="13.84765625" customWidth="1"/>
    <col min="7" max="7" width="13.27734375" customWidth="1"/>
    <col min="8" max="8" width="0.99609375" customWidth="1"/>
    <col min="9" max="9" width="1.13671875" customWidth="1"/>
    <col min="10" max="10" width="22.7109375" customWidth="1"/>
    <col min="11" max="11" width="21.41796875" customWidth="1"/>
    <col min="12" max="12" width="21.27734375" customWidth="1"/>
    <col min="13" max="13" width="20.27734375" customWidth="1"/>
    <col min="14" max="14" width="11.140625" customWidth="1"/>
    <col min="15" max="15" width="18.41796875" customWidth="1"/>
    <col min="16" max="16" width="13.27734375" customWidth="1"/>
    <col min="17" max="17" width="14.7109375" customWidth="1"/>
    <col min="18" max="18" width="10.5703125" customWidth="1"/>
    <col min="19" max="19" width="0.99609375" customWidth="1"/>
    <col min="20" max="20" width="28" customWidth="1"/>
    <col min="21" max="21" width="10.41796875" customWidth="1"/>
    <col min="22" max="22" width="26.140625" customWidth="1"/>
  </cols>
  <sheetData>
    <row r="1" spans="1:29" ht="20.25">
      <c r="A1" s="88"/>
      <c r="B1" s="286" t="s">
        <v>68</v>
      </c>
      <c r="C1" s="286"/>
      <c r="D1" s="286"/>
      <c r="E1" s="286"/>
      <c r="F1" s="286"/>
      <c r="G1" s="286"/>
      <c r="H1" s="167"/>
      <c r="I1" s="224"/>
      <c r="J1" s="224"/>
      <c r="W1" s="83"/>
      <c r="X1" s="83"/>
      <c r="Y1" s="40"/>
      <c r="Z1" s="40"/>
      <c r="AA1" s="40"/>
      <c r="AB1" s="40"/>
      <c r="AC1" s="40"/>
    </row>
    <row r="2" spans="1:29" ht="20.25">
      <c r="A2" s="90"/>
      <c r="B2" s="577" t="str">
        <f ca="1">Calculations!E9</f>
        <v>Academic Year 2015/2016</v>
      </c>
      <c r="C2" s="577"/>
      <c r="D2" s="577"/>
      <c r="E2" s="577"/>
      <c r="F2" s="577"/>
      <c r="G2" s="577"/>
      <c r="H2" s="208"/>
      <c r="I2" s="224"/>
      <c r="J2" s="224"/>
      <c r="W2" s="84"/>
      <c r="X2" s="84"/>
      <c r="Y2" s="41"/>
      <c r="Z2" s="41"/>
      <c r="AA2" s="42"/>
      <c r="AB2" s="42"/>
      <c r="AC2" s="40"/>
    </row>
    <row r="3" spans="1:29" ht="6.75" customHeight="1">
      <c r="A3" s="90"/>
      <c r="B3" s="259"/>
      <c r="C3" s="259"/>
      <c r="D3" s="259"/>
      <c r="E3" s="259"/>
      <c r="F3" s="259"/>
      <c r="G3" s="259"/>
      <c r="H3" s="208"/>
      <c r="I3" s="224"/>
      <c r="J3" s="224"/>
      <c r="W3" s="84"/>
      <c r="X3" s="84"/>
      <c r="Y3" s="41"/>
      <c r="Z3" s="41"/>
      <c r="AA3" s="42"/>
      <c r="AB3" s="42"/>
      <c r="AC3" s="40"/>
    </row>
    <row r="4" spans="1:29">
      <c r="A4" s="90"/>
      <c r="B4" s="266"/>
      <c r="C4" s="266"/>
      <c r="D4" s="266"/>
      <c r="E4" s="266"/>
      <c r="F4" s="266"/>
      <c r="G4" s="266"/>
      <c r="H4" s="273"/>
      <c r="I4" s="224"/>
      <c r="J4" s="224"/>
      <c r="W4" s="84"/>
      <c r="X4" s="84"/>
      <c r="Y4" s="41"/>
      <c r="Z4" s="41"/>
      <c r="AA4" s="42"/>
      <c r="AB4" s="42"/>
      <c r="AC4" s="40"/>
    </row>
    <row r="5" spans="1:29">
      <c r="A5" s="90"/>
      <c r="B5" s="266"/>
      <c r="C5" s="266"/>
      <c r="D5" s="266"/>
      <c r="E5" s="266"/>
      <c r="F5" s="266"/>
      <c r="G5" s="266"/>
      <c r="H5" s="273"/>
      <c r="I5" s="224"/>
      <c r="J5" s="224"/>
      <c r="W5" s="84"/>
      <c r="X5" s="84"/>
      <c r="Y5" s="41"/>
      <c r="Z5" s="41"/>
      <c r="AA5" s="42"/>
      <c r="AB5" s="42"/>
      <c r="AC5" s="40"/>
    </row>
    <row r="6" spans="1:29" ht="14.25" customHeight="1">
      <c r="A6" s="90"/>
      <c r="B6" s="266"/>
      <c r="C6" s="266"/>
      <c r="D6" s="266"/>
      <c r="E6" s="266"/>
      <c r="F6" s="266"/>
      <c r="G6" s="266"/>
      <c r="H6" s="266"/>
      <c r="I6" s="260"/>
      <c r="J6" s="260"/>
      <c r="W6" s="84"/>
      <c r="X6" s="84"/>
      <c r="Y6" s="41"/>
      <c r="Z6" s="41"/>
      <c r="AA6" s="42"/>
      <c r="AB6" s="42"/>
      <c r="AC6" s="40"/>
    </row>
    <row r="7" spans="1:29" ht="7.5" customHeight="1" thickBot="1">
      <c r="A7" s="90"/>
      <c r="B7" s="266"/>
      <c r="C7" s="266"/>
      <c r="D7" s="266"/>
      <c r="E7" s="266"/>
      <c r="F7" s="266"/>
      <c r="G7" s="266"/>
      <c r="H7" s="90"/>
      <c r="I7" s="224"/>
      <c r="J7" s="224"/>
      <c r="W7" s="85"/>
      <c r="X7" s="85"/>
      <c r="Y7" s="43"/>
      <c r="Z7" s="43"/>
      <c r="AA7" s="44"/>
      <c r="AB7" s="44"/>
      <c r="AC7" s="40"/>
    </row>
    <row r="8" spans="1:29">
      <c r="A8" s="90"/>
      <c r="B8" s="241" t="s">
        <v>24</v>
      </c>
      <c r="C8" s="578"/>
      <c r="D8" s="579"/>
      <c r="E8" s="579"/>
      <c r="F8" s="579"/>
      <c r="G8" s="580"/>
      <c r="H8" s="90"/>
      <c r="I8" s="224"/>
      <c r="J8" s="224"/>
      <c r="W8" s="84"/>
      <c r="X8" s="84"/>
      <c r="Y8" s="43"/>
      <c r="Z8" s="43"/>
      <c r="AA8" s="44"/>
      <c r="AB8" s="44"/>
      <c r="AC8" s="40"/>
    </row>
    <row r="9" spans="1:29">
      <c r="A9" s="90"/>
      <c r="B9" s="209" t="s">
        <v>16</v>
      </c>
      <c r="C9" s="581"/>
      <c r="D9" s="582"/>
      <c r="E9" s="530" t="s">
        <v>75</v>
      </c>
      <c r="F9" s="583"/>
      <c r="G9" s="584"/>
      <c r="H9" s="90"/>
      <c r="I9" s="224"/>
      <c r="J9" s="224"/>
      <c r="W9" s="84"/>
      <c r="X9" s="84"/>
      <c r="Y9" s="43"/>
      <c r="Z9" s="43"/>
      <c r="AA9" s="44"/>
      <c r="AB9" s="44"/>
      <c r="AC9" s="40"/>
    </row>
    <row r="10" spans="1:29">
      <c r="A10" s="90"/>
      <c r="B10" s="271" t="s">
        <v>65</v>
      </c>
      <c r="C10" s="531"/>
      <c r="D10" s="532"/>
      <c r="E10" s="532"/>
      <c r="F10" s="532"/>
      <c r="G10" s="533"/>
      <c r="H10" s="90"/>
      <c r="I10" s="224"/>
      <c r="J10" s="224"/>
      <c r="W10" s="86"/>
      <c r="X10" s="87"/>
      <c r="Y10" s="43"/>
      <c r="Z10" s="43"/>
      <c r="AA10" s="44"/>
      <c r="AB10" s="44"/>
      <c r="AC10" s="40"/>
    </row>
    <row r="11" spans="1:29" ht="14.25" customHeight="1">
      <c r="A11" s="90"/>
      <c r="B11" s="272"/>
      <c r="C11" s="534"/>
      <c r="D11" s="535"/>
      <c r="E11" s="535"/>
      <c r="F11" s="535"/>
      <c r="G11" s="536"/>
      <c r="H11" s="90"/>
      <c r="I11" s="224"/>
      <c r="J11" s="224"/>
      <c r="W11" s="86"/>
      <c r="X11" s="87"/>
      <c r="Y11" s="43"/>
      <c r="Z11" s="43"/>
      <c r="AA11" s="44"/>
      <c r="AB11" s="44"/>
      <c r="AC11" s="40"/>
    </row>
    <row r="12" spans="1:29">
      <c r="A12" s="90"/>
      <c r="B12" s="269" t="s">
        <v>23</v>
      </c>
      <c r="C12" s="585"/>
      <c r="D12" s="586"/>
      <c r="E12" s="586"/>
      <c r="F12" s="586"/>
      <c r="G12" s="587"/>
      <c r="H12" s="90"/>
      <c r="W12" s="86"/>
      <c r="X12" s="87"/>
      <c r="Y12" s="43"/>
      <c r="Z12" s="43"/>
      <c r="AA12" s="44"/>
      <c r="AB12" s="44"/>
      <c r="AC12" s="40"/>
    </row>
    <row r="13" spans="1:29" ht="15.75" thickBot="1">
      <c r="A13" s="90"/>
      <c r="B13" s="270" t="s">
        <v>17</v>
      </c>
      <c r="C13" s="537"/>
      <c r="D13" s="538"/>
      <c r="E13" s="538"/>
      <c r="F13" s="538"/>
      <c r="G13" s="539"/>
      <c r="H13" s="90"/>
      <c r="I13" s="224"/>
      <c r="J13" s="224"/>
      <c r="W13" s="86"/>
      <c r="X13" s="86"/>
      <c r="Y13" s="45"/>
      <c r="Z13" s="43"/>
      <c r="AA13" s="44"/>
      <c r="AB13" s="44"/>
      <c r="AC13" s="40"/>
    </row>
    <row r="14" spans="1:29" ht="3.75" customHeight="1" thickBot="1">
      <c r="A14" s="90"/>
      <c r="B14" s="266"/>
      <c r="C14" s="266"/>
      <c r="D14" s="266"/>
      <c r="E14" s="266"/>
      <c r="F14" s="266"/>
      <c r="G14" s="266"/>
      <c r="H14" s="90"/>
      <c r="I14" s="224"/>
      <c r="J14" s="224"/>
      <c r="W14" s="85"/>
      <c r="X14" s="85"/>
      <c r="Y14" s="43"/>
      <c r="Z14" s="43"/>
      <c r="AA14" s="44"/>
      <c r="AB14" s="44"/>
      <c r="AC14" s="40"/>
    </row>
    <row r="15" spans="1:29" customHeight="1" thickBot="1">
      <c r="A15" s="90"/>
      <c r="B15" s="95" t="s">
        <v>11</v>
      </c>
      <c r="C15" s="7" t="s">
        <v>1</v>
      </c>
      <c r="D15" s="7" t="s">
        <v>12</v>
      </c>
      <c r="E15" s="7" t="s">
        <v>2</v>
      </c>
      <c r="F15" s="7" t="s">
        <v>83</v>
      </c>
      <c r="G15" s="8" t="s">
        <v>84</v>
      </c>
      <c r="H15" s="90"/>
      <c r="I15" s="260"/>
      <c r="J15" s="260"/>
      <c r="W15" s="85"/>
      <c r="X15" s="85"/>
      <c r="Y15" s="43"/>
      <c r="Z15" s="43"/>
      <c r="AA15" s="44"/>
      <c r="AB15" s="44"/>
      <c r="AC15" s="40"/>
    </row>
    <row r="16" spans="1:29">
      <c r="A16" s="90"/>
      <c r="B16" s="94" t="s">
        <v>0</v>
      </c>
      <c r="C16" s="25"/>
      <c r="D16" s="25"/>
      <c r="E16" s="540">
        <v>10930</v>
      </c>
      <c r="F16" s="25">
        <f ca="1">E16</f>
        <v>10930</v>
      </c>
      <c r="G16" s="26">
        <f ca="1">SUM(F16*Calculations!C31)</f>
        <v>18034.5</v>
      </c>
      <c r="H16" s="90"/>
      <c r="I16" s="224"/>
      <c r="J16" s="224"/>
      <c r="W16" s="178"/>
      <c r="X16" s="178"/>
      <c r="Y16" s="177"/>
      <c r="Z16" s="43"/>
      <c r="AA16" s="44"/>
      <c r="AB16" s="44"/>
      <c r="AC16" s="40"/>
    </row>
    <row r="17" spans="1:29" ht="5.25" customHeight="1">
      <c r="A17" s="90"/>
      <c r="B17" s="9"/>
      <c r="C17" s="10"/>
      <c r="D17" s="10"/>
      <c r="E17" s="10"/>
      <c r="F17" s="97"/>
      <c r="G17" s="11"/>
      <c r="H17" s="90"/>
      <c r="I17" s="224"/>
      <c r="J17" s="224"/>
      <c r="W17" s="179"/>
      <c r="X17" s="178"/>
      <c r="Y17" s="177"/>
      <c r="Z17" s="43"/>
      <c r="AA17" s="44"/>
      <c r="AB17" s="44"/>
      <c r="AC17" s="40"/>
    </row>
    <row r="18" spans="1:29">
      <c r="A18" s="90"/>
      <c r="B18" s="12" t="s">
        <v>259</v>
      </c>
      <c r="C18" s="16">
        <v>20</v>
      </c>
      <c r="D18" s="100">
        <f ca="1">IF(D40="UG",39, 52)</f>
        <v>39</v>
      </c>
      <c r="E18" s="98"/>
      <c r="F18" s="257">
        <f ca="1">SUM(C18*D18)+E18</f>
        <v>780</v>
      </c>
      <c r="G18" s="22">
        <f ca="1">SUM(F18*Calculations!C31)</f>
        <v>1287</v>
      </c>
      <c r="H18" s="90"/>
      <c r="I18" s="224"/>
      <c r="J18" s="224"/>
      <c r="W18" s="180"/>
      <c r="X18" s="181"/>
      <c r="Y18" s="177"/>
      <c r="Z18" s="43"/>
      <c r="AA18" s="44"/>
      <c r="AB18" s="44"/>
      <c r="AC18" s="40"/>
    </row>
    <row r="19" spans="1:29">
      <c r="A19" s="90"/>
      <c r="B19" s="13" t="s">
        <v>257</v>
      </c>
      <c r="C19" s="154">
        <v>20</v>
      </c>
      <c r="D19" s="100">
        <f ca="1">IF($D$40="UG",39, 52)</f>
        <v>39</v>
      </c>
      <c r="E19" s="101"/>
      <c r="F19" s="25">
        <f ca="1">SUM(C19*D19)+E19</f>
        <v>780</v>
      </c>
      <c r="G19" s="24">
        <f ca="1">SUM(F19*Calculations!C31)</f>
        <v>1287</v>
      </c>
      <c r="H19" s="90"/>
      <c r="I19" s="224"/>
      <c r="J19" s="224"/>
      <c r="W19" s="180"/>
      <c r="X19" s="181"/>
      <c r="Y19" s="177"/>
      <c r="Z19" s="43"/>
      <c r="AA19" s="44"/>
      <c r="AB19" s="44"/>
      <c r="AC19" s="40"/>
    </row>
    <row r="20" spans="1:29">
      <c r="A20" s="90"/>
      <c r="B20" s="13" t="s">
        <v>250</v>
      </c>
      <c r="C20" s="23">
        <v>60</v>
      </c>
      <c r="D20" s="100">
        <f ca="1">IF($D$40="UG",39, 52)</f>
        <v>39</v>
      </c>
      <c r="E20" s="154"/>
      <c r="F20" s="25">
        <f ca="1">SUM(C20*D20)+E20</f>
        <v>2340</v>
      </c>
      <c r="G20" s="24">
        <f ca="1">SUM(F20*Calculations!C31)</f>
        <v>3861</v>
      </c>
      <c r="H20" s="90"/>
      <c r="I20" s="224"/>
      <c r="J20" s="224"/>
      <c r="W20" s="180"/>
      <c r="X20" s="181"/>
      <c r="Y20" s="177"/>
      <c r="Z20" s="43"/>
      <c r="AA20" s="44"/>
      <c r="AB20" s="44"/>
      <c r="AC20" s="40"/>
    </row>
    <row r="21" spans="1:29" ht="13.5" customHeight="1">
      <c r="A21" s="90"/>
      <c r="B21" s="13" t="s">
        <v>258</v>
      </c>
      <c r="C21" s="23"/>
      <c r="D21" s="104"/>
      <c r="E21" s="154">
        <v>397</v>
      </c>
      <c r="F21" s="25">
        <v>397</v>
      </c>
      <c r="G21" s="24">
        <f ca="1">SUM(F21*Calculations!C31)</f>
        <v>655.05</v>
      </c>
      <c r="H21" s="90"/>
      <c r="I21" s="224"/>
      <c r="J21" s="224"/>
      <c r="W21" s="180"/>
      <c r="X21" s="180"/>
      <c r="Y21" s="181"/>
      <c r="Z21" s="43"/>
      <c r="AA21" s="44"/>
      <c r="AB21" s="44"/>
      <c r="AC21" s="40"/>
    </row>
    <row r="22" spans="1:29">
      <c r="A22" s="90"/>
      <c r="B22" s="13" t="s">
        <v>121</v>
      </c>
      <c r="C22" s="23"/>
      <c r="D22" s="100"/>
      <c r="E22" s="154">
        <v>2000</v>
      </c>
      <c r="F22" s="25">
        <f ca="1">SUM(C22*D22)+E22</f>
        <v>2000</v>
      </c>
      <c r="G22" s="24">
        <f ca="1">SUM(F22*Calculations!C31)</f>
        <v>3300</v>
      </c>
      <c r="H22" s="90"/>
      <c r="I22" s="224"/>
      <c r="J22" s="224"/>
      <c r="W22" s="177"/>
      <c r="X22" s="177"/>
      <c r="Y22" s="177"/>
      <c r="Z22" s="43"/>
      <c r="AA22" s="44"/>
      <c r="AB22" s="44"/>
      <c r="AC22" s="40"/>
    </row>
    <row r="23" spans="1:29">
      <c r="A23" s="90"/>
      <c r="B23" s="13" t="s">
        <v>254</v>
      </c>
      <c r="C23" s="23"/>
      <c r="D23" s="100"/>
      <c r="E23" s="154">
        <v>600</v>
      </c>
      <c r="F23" s="25">
        <f ca="1">SUM(C23*D23)+E23</f>
        <v>600</v>
      </c>
      <c r="G23" s="24">
        <f ca="1">SUM(E23*Calculations!C31)</f>
        <v>990</v>
      </c>
      <c r="H23" s="90"/>
      <c r="I23" s="263"/>
      <c r="J23" s="263"/>
      <c r="W23" s="85"/>
      <c r="X23" s="85"/>
      <c r="Y23" s="43"/>
      <c r="Z23" s="43"/>
      <c r="AA23" s="44"/>
      <c r="AB23" s="44"/>
      <c r="AC23" s="40"/>
    </row>
    <row r="24" spans="1:29">
      <c r="A24" s="90"/>
      <c r="B24" s="14" t="s">
        <v>18</v>
      </c>
      <c r="C24" s="307"/>
      <c r="D24" s="100"/>
      <c r="E24" s="308">
        <v>500</v>
      </c>
      <c r="F24" s="25">
        <f ca="1">SUM(C24*D24)+E24</f>
        <v>500</v>
      </c>
      <c r="G24" s="462">
        <f ca="1">SUM(F24*Calculations!C31)</f>
        <v>825</v>
      </c>
      <c r="H24" s="90"/>
      <c r="I24" s="224"/>
      <c r="J24" s="224"/>
      <c r="W24" s="85"/>
      <c r="X24" s="85"/>
      <c r="Y24" s="43"/>
      <c r="Z24" s="43"/>
      <c r="AA24" s="44"/>
      <c r="AB24" s="44"/>
      <c r="AC24" s="40"/>
    </row>
    <row r="25" spans="1:29">
      <c r="A25" s="90"/>
      <c r="B25" s="412" t="s">
        <v>261</v>
      </c>
      <c r="C25" s="567"/>
      <c r="D25" s="568"/>
      <c r="E25" s="569">
        <v>62</v>
      </c>
      <c r="F25" s="463">
        <f ca="1">SUM(C25*D25)+E25</f>
        <v>62</v>
      </c>
      <c r="G25" s="464">
        <f ca="1">SUM(F25*Calculations!C31)</f>
        <v>102.3</v>
      </c>
      <c r="H25" s="90"/>
      <c r="I25" s="224"/>
      <c r="J25" s="224"/>
      <c r="W25" s="85"/>
      <c r="X25" s="85"/>
      <c r="Y25" s="43"/>
      <c r="Z25" s="43"/>
      <c r="AA25" s="44"/>
      <c r="AB25" s="44"/>
      <c r="AC25" s="40"/>
    </row>
    <row r="26" spans="1:29" ht="6" customHeight="1">
      <c r="A26" s="90"/>
      <c r="B26" s="9"/>
      <c r="C26" s="10"/>
      <c r="D26" s="97"/>
      <c r="E26" s="10"/>
      <c r="F26" s="461"/>
      <c r="G26" s="78"/>
      <c r="H26" s="90"/>
      <c r="I26" s="224"/>
      <c r="J26" s="224"/>
      <c r="W26" s="85"/>
      <c r="X26" s="85"/>
      <c r="Y26" s="43"/>
      <c r="Z26" s="43"/>
      <c r="AA26" s="44"/>
      <c r="AB26" s="44"/>
      <c r="AC26" s="40"/>
    </row>
    <row r="27" spans="1:29" ht="12.75" customHeight="1">
      <c r="A27" s="90"/>
      <c r="B27" s="12" t="s">
        <v>252</v>
      </c>
      <c r="C27" s="98">
        <v>146</v>
      </c>
      <c r="D27" s="100">
        <f ca="1">IF($D$40="UG",39, 52)</f>
        <v>39</v>
      </c>
      <c r="E27" s="99"/>
      <c r="F27" s="16">
        <f ca="1">SUM(C27*D27)+E27</f>
        <v>5694</v>
      </c>
      <c r="G27" s="155">
        <f ca="1">SUM(F27*Calculations!C31)</f>
        <v>9395.1</v>
      </c>
      <c r="H27" s="90"/>
      <c r="I27" s="224"/>
      <c r="J27" s="224"/>
      <c r="W27" s="85"/>
      <c r="X27" s="85"/>
      <c r="Y27" s="43"/>
      <c r="Z27" s="43"/>
      <c r="AA27" s="44"/>
      <c r="AB27" s="44"/>
      <c r="AC27" s="40"/>
    </row>
    <row r="28" spans="1:29" ht="13.5" customHeight="1">
      <c r="A28" s="90"/>
      <c r="B28" s="13" t="s">
        <v>251</v>
      </c>
      <c r="C28" s="23">
        <v>85</v>
      </c>
      <c r="D28" s="100">
        <f ca="1">IF($D$40="UG",39, 52)</f>
        <v>39</v>
      </c>
      <c r="E28" s="101"/>
      <c r="F28" s="23">
        <f ca="1">SUM(C28*D28)+E28</f>
        <v>3315</v>
      </c>
      <c r="G28" s="24">
        <f ca="1">SUM(F28*Calculations!C31)</f>
        <v>5469.75</v>
      </c>
      <c r="H28" s="90"/>
      <c r="I28" s="224"/>
      <c r="J28" s="224"/>
      <c r="W28" s="85"/>
      <c r="X28" s="85"/>
      <c r="Y28" s="43"/>
      <c r="Z28" s="43"/>
      <c r="AA28" s="44"/>
      <c r="AB28" s="44"/>
      <c r="AC28" s="40"/>
    </row>
    <row r="29" spans="1:29" ht="14.25" customHeight="1">
      <c r="A29" s="90"/>
      <c r="B29" s="18"/>
      <c r="C29" s="156"/>
      <c r="D29" s="157"/>
      <c r="E29" s="158"/>
      <c r="F29" s="156"/>
      <c r="G29" s="159"/>
      <c r="H29" s="90"/>
      <c r="I29" s="224"/>
      <c r="J29" s="224"/>
      <c r="W29" s="85"/>
      <c r="X29" s="85"/>
      <c r="Y29" s="43"/>
      <c r="Z29" s="43"/>
      <c r="AA29" s="44"/>
      <c r="AB29" s="44"/>
      <c r="AC29" s="40"/>
    </row>
    <row r="30" spans="1:29" ht="7.5" customHeight="1">
      <c r="A30" s="90"/>
      <c r="B30" s="19"/>
      <c r="C30" s="20"/>
      <c r="D30" s="20"/>
      <c r="E30" s="20"/>
      <c r="F30" s="20"/>
      <c r="G30" s="21"/>
      <c r="H30" s="90"/>
      <c r="I30" s="224"/>
      <c r="J30" s="224"/>
      <c r="W30" s="85"/>
      <c r="X30" s="85"/>
      <c r="Y30" s="43"/>
      <c r="Z30" s="43"/>
      <c r="AA30" s="44"/>
      <c r="AB30" s="44"/>
      <c r="AC30" s="40"/>
    </row>
    <row r="31" spans="1:29" ht="12.75" customHeight="1">
      <c r="A31" s="90"/>
      <c r="B31" s="15" t="s">
        <v>5</v>
      </c>
      <c r="C31" s="541"/>
      <c r="D31" s="541"/>
      <c r="E31" s="542">
        <v>0</v>
      </c>
      <c r="F31" s="16">
        <f ca="1">SUM(C31*D31)+E31</f>
        <v>0</v>
      </c>
      <c r="G31" s="22">
        <f ca="1">SUM(F31*Calculations!C31)</f>
        <v>0</v>
      </c>
      <c r="H31" s="90"/>
      <c r="I31" s="224"/>
      <c r="J31" s="224"/>
      <c r="W31" s="85"/>
      <c r="X31" s="85"/>
      <c r="Y31" s="43"/>
      <c r="Z31" s="43"/>
      <c r="AA31" s="44"/>
      <c r="AB31" s="44"/>
      <c r="AC31" s="40"/>
    </row>
    <row r="32" spans="1:29" ht="12.75" customHeight="1">
      <c r="A32" s="90"/>
      <c r="B32" s="17" t="s">
        <v>6</v>
      </c>
      <c r="C32" s="543"/>
      <c r="D32" s="543"/>
      <c r="E32" s="544">
        <v>0</v>
      </c>
      <c r="F32" s="23">
        <f ca="1">SUM(C32*D32)+E32</f>
        <v>0</v>
      </c>
      <c r="G32" s="24">
        <f ca="1">SUM(F32*Calculations!C31)</f>
        <v>0</v>
      </c>
      <c r="H32" s="266"/>
      <c r="I32" s="34"/>
      <c r="J32" s="34"/>
      <c r="W32" s="85"/>
      <c r="X32" s="85"/>
      <c r="Y32" s="43"/>
      <c r="Z32" s="43"/>
      <c r="AA32" s="44"/>
      <c r="AB32" s="44"/>
      <c r="AC32" s="40"/>
    </row>
    <row r="33" spans="1:29" ht="12.75" customHeight="1">
      <c r="A33" s="90"/>
      <c r="B33" s="17" t="s">
        <v>14</v>
      </c>
      <c r="C33" s="543"/>
      <c r="D33" s="543"/>
      <c r="E33" s="544">
        <v>0</v>
      </c>
      <c r="F33" s="23">
        <f ca="1">SUM(C33*D33)+E33</f>
        <v>0</v>
      </c>
      <c r="G33" s="24">
        <f ca="1">SUM(F33*Calculations!C31)</f>
        <v>0</v>
      </c>
      <c r="H33" s="264"/>
      <c r="I33" s="81"/>
      <c r="J33" s="81"/>
      <c r="W33" s="85"/>
      <c r="X33" s="85"/>
      <c r="Y33" s="43"/>
      <c r="Z33" s="43"/>
      <c r="AA33" s="44"/>
      <c r="AB33" s="44"/>
      <c r="AC33" s="40"/>
    </row>
    <row r="34" spans="1:29" ht="13.5" customHeight="1" thickBot="1">
      <c r="A34" s="90"/>
      <c r="B34" s="27" t="s">
        <v>15</v>
      </c>
      <c r="C34" s="545"/>
      <c r="D34" s="545"/>
      <c r="E34" s="546">
        <v>0</v>
      </c>
      <c r="F34" s="25">
        <f ca="1">SUM(C34*D34)+E34</f>
        <v>0</v>
      </c>
      <c r="G34" s="26">
        <f ca="1">SUM(F34*Calculations!C31)</f>
        <v>0</v>
      </c>
      <c r="H34" s="91"/>
      <c r="I34" s="153"/>
      <c r="J34" s="153"/>
      <c r="W34" s="85"/>
      <c r="X34" s="85"/>
      <c r="Y34" s="43"/>
      <c r="Z34" s="43"/>
      <c r="AA34" s="44"/>
      <c r="AB34" s="44"/>
      <c r="AC34" s="40"/>
    </row>
    <row r="35" spans="1:29" customHeight="1" thickBot="1">
      <c r="A35" s="90"/>
      <c r="B35" s="277"/>
      <c r="C35" s="278"/>
      <c r="D35" s="278"/>
      <c r="E35" s="279"/>
      <c r="F35" s="281">
        <f ca="1">SUM(F16:F34)</f>
        <v>27398</v>
      </c>
      <c r="G35" s="282">
        <f ca="1">SUM(G16:G34)</f>
        <v>45206.7</v>
      </c>
      <c r="H35" s="91"/>
      <c r="I35" s="33"/>
      <c r="J35" s="33"/>
      <c r="W35" s="85"/>
      <c r="X35" s="85"/>
      <c r="Y35" s="43"/>
      <c r="Z35" s="43"/>
      <c r="AA35" s="44"/>
      <c r="AB35" s="44"/>
      <c r="AC35" s="40"/>
    </row>
    <row r="36" spans="1:29" ht="3.75" customHeight="1" thickBot="1">
      <c r="A36" s="89"/>
      <c r="B36" s="89"/>
      <c r="C36" s="89"/>
      <c r="D36" s="89"/>
      <c r="E36" s="89"/>
      <c r="F36" s="89"/>
      <c r="G36" s="283"/>
      <c r="H36" s="265"/>
      <c r="I36" s="33"/>
      <c r="J36" s="79"/>
      <c r="W36" s="85"/>
      <c r="X36" s="85"/>
      <c r="Y36" s="43"/>
      <c r="Z36" s="43"/>
      <c r="AA36" s="44"/>
      <c r="AB36" s="44"/>
      <c r="AC36" s="40"/>
    </row>
    <row r="37" spans="1:29" ht="12.75" customHeight="1" thickBot="1">
      <c r="A37" s="90"/>
      <c r="B37" s="441" t="s">
        <v>119</v>
      </c>
      <c r="C37" s="457" t="s">
        <v>256</v>
      </c>
      <c r="D37" s="355"/>
      <c r="E37" s="284" t="s">
        <v>243</v>
      </c>
      <c r="F37" s="355"/>
      <c r="G37" s="285">
        <f ca="1">SUM(G35:G36)</f>
        <v>45206.7</v>
      </c>
      <c r="H37" s="265"/>
      <c r="I37" s="258"/>
      <c r="J37" s="258"/>
      <c r="W37" s="43"/>
      <c r="X37" s="43"/>
      <c r="Y37" s="43"/>
      <c r="Z37" s="43"/>
      <c r="AA37" s="44"/>
      <c r="AB37" s="44"/>
      <c r="AC37" s="40"/>
    </row>
    <row r="38" spans="1:29" ht="4.5" customHeight="1" thickBot="1">
      <c r="A38" s="90"/>
      <c r="B38" s="266"/>
      <c r="C38" s="266"/>
      <c r="D38" s="266"/>
      <c r="E38" s="266"/>
      <c r="F38" s="266"/>
      <c r="G38" s="266"/>
      <c r="H38" s="266"/>
      <c r="I38" s="275"/>
      <c r="J38" s="153"/>
      <c r="W38" s="43"/>
      <c r="X38" s="43"/>
      <c r="Y38" s="43"/>
      <c r="Z38" s="43"/>
      <c r="AA38" s="44"/>
      <c r="AB38" s="44"/>
      <c r="AC38" s="40"/>
    </row>
    <row r="39" spans="1:29" ht="14.25" customHeight="1" thickBot="1">
      <c r="A39" s="90"/>
      <c r="B39" s="352" t="s">
        <v>62</v>
      </c>
      <c r="C39" s="280"/>
      <c r="D39" s="353"/>
      <c r="E39" s="398" t="s">
        <v>227</v>
      </c>
      <c r="F39" s="354"/>
      <c r="G39" s="351"/>
      <c r="H39" s="91"/>
      <c r="I39" s="275"/>
      <c r="J39" s="445"/>
      <c r="K39" s="446"/>
      <c r="M39" s="395"/>
      <c r="N39" s="395"/>
      <c r="O39" s="393"/>
      <c r="W39" s="43"/>
      <c r="X39" s="43"/>
      <c r="Y39" s="43"/>
      <c r="Z39" s="43"/>
      <c r="AA39" s="44"/>
      <c r="AB39" s="44"/>
      <c r="AC39" s="40"/>
    </row>
    <row r="40" spans="1:29">
      <c r="A40" s="90"/>
      <c r="B40" s="358" t="s">
        <v>105</v>
      </c>
      <c r="C40" s="359"/>
      <c r="D40" s="547" t="s">
        <v>255</v>
      </c>
      <c r="E40" s="596" t="s">
        <v>186</v>
      </c>
      <c r="F40" s="597"/>
      <c r="G40" s="552"/>
      <c r="H40" s="92"/>
      <c r="I40" s="275"/>
      <c r="J40" s="1"/>
      <c r="K40" s="447"/>
      <c r="N40" s="395"/>
      <c r="O40" s="393"/>
      <c r="W40" s="43"/>
      <c r="X40" s="43"/>
      <c r="Y40" s="43"/>
      <c r="Z40" s="43"/>
      <c r="AA40" s="44"/>
      <c r="AB40" s="44"/>
      <c r="AC40" s="40"/>
    </row>
    <row r="41" spans="1:29" customHeight="1">
      <c r="A41" s="90"/>
      <c r="B41" s="356" t="str">
        <f ca="1">IF(((D40="UG")),"Year of entry (0, 1, 2, 3)", "")</f>
        <v>Year of entry (0, 1, 2, 3)</v>
      </c>
      <c r="C41" s="357"/>
      <c r="D41" s="548" t="s">
        <v>268</v>
      </c>
      <c r="E41" s="598" t="s">
        <v>184</v>
      </c>
      <c r="F41" s="599"/>
      <c r="G41" s="553">
        <v>0</v>
      </c>
      <c r="H41" s="93"/>
      <c r="I41" s="275"/>
      <c r="J41" s="1"/>
      <c r="K41" s="448"/>
      <c r="N41" s="258"/>
      <c r="O41" s="394"/>
      <c r="Q41" s="47"/>
      <c r="R41" s="46"/>
      <c r="S41" s="46"/>
      <c r="T41" s="49"/>
      <c r="U41" s="49"/>
      <c r="V41" s="43"/>
      <c r="W41" s="43"/>
      <c r="X41" s="43"/>
      <c r="Y41" s="43"/>
      <c r="Z41" s="43"/>
      <c r="AA41" s="44"/>
      <c r="AB41" s="44"/>
      <c r="AC41" s="40"/>
    </row>
    <row r="42" spans="1:29">
      <c r="A42" s="90"/>
      <c r="B42" s="348" t="s">
        <v>82</v>
      </c>
      <c r="C42" s="349"/>
      <c r="D42" s="549" t="s">
        <v>262</v>
      </c>
      <c r="E42" s="600" t="s">
        <v>185</v>
      </c>
      <c r="F42" s="601"/>
      <c r="G42" s="554"/>
      <c r="H42" s="266"/>
      <c r="I42" s="258"/>
      <c r="J42" s="258"/>
      <c r="K42" s="448"/>
      <c r="N42" s="258"/>
      <c r="O42" s="394"/>
      <c r="Q42" s="47"/>
      <c r="R42" s="46"/>
      <c r="S42" s="46"/>
      <c r="T42" s="49"/>
      <c r="U42" s="49"/>
      <c r="V42" s="43"/>
      <c r="W42" s="43"/>
      <c r="X42" s="43"/>
      <c r="Y42" s="43"/>
      <c r="Z42" s="43"/>
      <c r="AA42" s="44"/>
      <c r="AB42" s="44"/>
      <c r="AC42" s="40"/>
    </row>
    <row r="43" spans="1:29">
      <c r="A43" s="90"/>
      <c r="B43" s="346" t="s">
        <v>20</v>
      </c>
      <c r="C43" s="347"/>
      <c r="D43" s="550"/>
      <c r="E43" s="458" t="s">
        <v>187</v>
      </c>
      <c r="F43" s="602"/>
      <c r="G43" s="96">
        <f ca="1">G41+G42</f>
        <v>0</v>
      </c>
      <c r="H43" s="266"/>
      <c r="I43" s="1"/>
      <c r="J43" s="79"/>
      <c r="K43" s="444"/>
      <c r="N43" s="1"/>
      <c r="O43" s="394"/>
      <c r="Q43" s="47"/>
      <c r="R43" s="46"/>
      <c r="S43" s="46"/>
      <c r="T43" s="43"/>
      <c r="U43" s="43"/>
      <c r="V43" s="43"/>
      <c r="W43" s="43"/>
      <c r="X43" s="43"/>
      <c r="Y43" s="43"/>
      <c r="Z43" s="43"/>
      <c r="AA43" s="44"/>
      <c r="AB43" s="44"/>
      <c r="AC43" s="40"/>
    </row>
    <row r="44" spans="1:29" ht="15.75" thickBot="1">
      <c r="A44" s="90"/>
      <c r="B44" s="344" t="s">
        <v>22</v>
      </c>
      <c r="C44" s="345"/>
      <c r="D44" s="551"/>
      <c r="E44" s="458"/>
      <c r="F44" s="443"/>
      <c r="G44" s="39"/>
      <c r="H44" s="266"/>
      <c r="K44" s="4"/>
      <c r="L44" s="396"/>
      <c r="M44" s="397"/>
      <c r="N44" s="397"/>
      <c r="O44" s="4"/>
      <c r="Q44" s="43"/>
      <c r="R44" s="46"/>
      <c r="S44" s="46"/>
      <c r="T44" s="43"/>
      <c r="U44" s="43"/>
      <c r="V44" s="43"/>
      <c r="W44" s="43"/>
      <c r="X44" s="43"/>
      <c r="Y44" s="43"/>
      <c r="Z44" s="43"/>
      <c r="AA44" s="44"/>
      <c r="AB44" s="44"/>
      <c r="AC44" s="40"/>
    </row>
    <row r="45" spans="1:29" ht="15.75" thickBot="1">
      <c r="A45" s="90"/>
      <c r="B45" s="352" t="s">
        <v>60</v>
      </c>
      <c r="C45" s="353"/>
      <c r="D45" s="274">
        <f ca="1">IF(G37-(D43+D44)&lt;0,0,G37-(D43+D44))</f>
        <v>45206.7</v>
      </c>
      <c r="E45" s="350"/>
      <c r="F45" s="351"/>
      <c r="G45" s="276"/>
      <c r="H45" s="266"/>
      <c r="K45" s="4"/>
      <c r="L45" s="396"/>
      <c r="M45" s="397"/>
      <c r="N45" s="397"/>
      <c r="O45" s="4"/>
      <c r="Q45" s="43"/>
      <c r="R45" s="41"/>
      <c r="S45" s="46"/>
      <c r="T45" s="43"/>
      <c r="U45" s="41"/>
      <c r="V45" s="43"/>
      <c r="W45" s="44"/>
      <c r="X45" s="44"/>
      <c r="Y45" s="44"/>
      <c r="Z45" s="43"/>
      <c r="AA45" s="44"/>
      <c r="AB45" s="44"/>
      <c r="AC45" s="40"/>
    </row>
    <row r="46" spans="1:29" ht="5.25" customHeight="1" thickBot="1">
      <c r="A46" s="90"/>
      <c r="B46" s="266"/>
      <c r="C46" s="266"/>
      <c r="D46" s="266"/>
      <c r="E46" s="267"/>
      <c r="F46" s="268"/>
      <c r="G46" s="92"/>
      <c r="H46" s="266"/>
      <c r="K46" s="4"/>
      <c r="L46" s="396"/>
      <c r="M46" s="397"/>
      <c r="N46" s="397"/>
      <c r="O46" s="4"/>
      <c r="Q46" s="50"/>
      <c r="R46" s="46"/>
      <c r="S46" s="46"/>
      <c r="T46" s="43"/>
      <c r="U46" s="43"/>
      <c r="V46" s="43"/>
      <c r="W46" s="43"/>
      <c r="X46" s="43"/>
      <c r="Y46" s="43"/>
      <c r="Z46" s="43"/>
      <c r="AA46" s="44"/>
      <c r="AB46" s="44"/>
      <c r="AC46" s="40"/>
    </row>
    <row r="47" spans="1:29" ht="13.5" customHeight="1" thickBot="1">
      <c r="A47" s="90"/>
      <c r="B47" s="429" t="s">
        <v>230</v>
      </c>
      <c r="C47" s="427"/>
      <c r="D47" s="427"/>
      <c r="E47" s="427"/>
      <c r="F47" s="427"/>
      <c r="G47" s="399"/>
      <c r="H47" s="266"/>
      <c r="L47" s="4"/>
      <c r="O47" s="4"/>
      <c r="Q47" s="43"/>
      <c r="R47" s="46"/>
      <c r="S47" s="46"/>
      <c r="T47" s="43"/>
      <c r="U47" s="43"/>
      <c r="V47" s="43"/>
      <c r="W47" s="43"/>
      <c r="X47" s="43"/>
      <c r="Y47" s="43"/>
      <c r="Z47" s="43"/>
      <c r="AA47" s="44"/>
      <c r="AB47" s="44"/>
      <c r="AC47" s="40"/>
    </row>
    <row r="48" spans="1:29" ht="14.25" customHeight="1" thickBot="1">
      <c r="A48" s="90"/>
      <c r="B48" s="453"/>
      <c r="C48" s="451" t="s">
        <v>228</v>
      </c>
      <c r="D48" s="449" t="s">
        <v>253</v>
      </c>
      <c r="E48" s="449" t="s">
        <v>225</v>
      </c>
      <c r="F48" s="456" t="s">
        <v>229</v>
      </c>
      <c r="G48" s="450"/>
      <c r="H48" s="428"/>
      <c r="J48" s="82" t="str">
        <f ca="1">IF((G48&gt;G41),"You cannot borrow this much","")</f>
        <v/>
      </c>
      <c r="Q48" s="43"/>
      <c r="R48" s="46"/>
      <c r="S48" s="46"/>
      <c r="T48" s="43"/>
      <c r="U48" s="43"/>
      <c r="V48" s="51"/>
      <c r="W48" s="51"/>
      <c r="X48" s="52"/>
      <c r="Y48" s="53"/>
      <c r="Z48" s="43"/>
      <c r="AA48" s="44"/>
      <c r="AB48" s="44"/>
      <c r="AC48" s="40"/>
    </row>
    <row r="49" spans="1:29" ht="13.5" customHeight="1" thickBot="1">
      <c r="A49" s="90"/>
      <c r="B49" s="452" t="s">
        <v>19</v>
      </c>
      <c r="C49" s="555"/>
      <c r="D49" s="454"/>
      <c r="E49" s="455" t="s">
        <v>231</v>
      </c>
      <c r="F49" s="603" t="s">
        <v>245</v>
      </c>
      <c r="G49" s="604"/>
      <c r="H49" s="428"/>
      <c r="J49" s="442"/>
      <c r="K49" s="443"/>
      <c r="Q49" s="43"/>
      <c r="R49" s="46"/>
      <c r="S49" s="46"/>
      <c r="T49" s="43"/>
      <c r="U49" s="43"/>
      <c r="V49" s="51"/>
      <c r="W49" s="51"/>
      <c r="X49" s="52"/>
      <c r="Y49" s="53"/>
      <c r="Z49" s="43"/>
      <c r="AA49" s="44"/>
      <c r="AB49" s="44"/>
      <c r="AC49" s="40"/>
    </row>
    <row r="50" spans="1:29" ht="14.25" customHeight="1">
      <c r="A50" s="90"/>
      <c r="B50" s="430" t="s">
        <v>36</v>
      </c>
      <c r="C50" s="559">
        <f ca="1">(Calculations!C15)</f>
        <v>5500</v>
      </c>
      <c r="D50" s="466">
        <v>0</v>
      </c>
      <c r="E50" s="556">
        <f ca="1">(Calculations!L10)</f>
        <v>5500</v>
      </c>
      <c r="F50" s="588">
        <f ca="1">E50-Calculations!O10</f>
        <v>5441.61823095</v>
      </c>
      <c r="G50" s="589"/>
      <c r="H50" s="428"/>
      <c r="J50" s="82" t="str">
        <f ca="1">IF((E50&gt;C50),"You cannot borrow this much","")</f>
        <v/>
      </c>
      <c r="Q50" s="43"/>
      <c r="R50" s="46"/>
      <c r="S50" s="46"/>
      <c r="T50" s="43"/>
      <c r="U50" s="43"/>
      <c r="V50" s="51"/>
      <c r="W50" s="51"/>
      <c r="X50" s="52"/>
      <c r="Y50" s="53"/>
      <c r="Z50" s="43"/>
      <c r="AA50" s="44"/>
      <c r="AB50" s="44"/>
      <c r="AC50" s="40"/>
    </row>
    <row r="51" spans="1:29">
      <c r="A51" s="266"/>
      <c r="B51" s="430" t="s">
        <v>37</v>
      </c>
      <c r="C51" s="559">
        <f ca="1">(Calculations!L14)</f>
        <v>2000</v>
      </c>
      <c r="D51" s="466"/>
      <c r="E51" s="557">
        <v>2000</v>
      </c>
      <c r="F51" s="588">
        <f ca="1">E51-Calculations!O14</f>
        <v>1978.7702658</v>
      </c>
      <c r="G51" s="589"/>
      <c r="H51" s="428"/>
      <c r="J51" s="82" t="str">
        <f ca="1">IF((E51&gt;(C51+D51)),"You cannot borrow this much","")</f>
        <v/>
      </c>
      <c r="K51" s="33"/>
      <c r="Q51" s="43"/>
      <c r="R51" s="46"/>
      <c r="S51" s="46"/>
      <c r="T51" s="43"/>
      <c r="U51" s="43"/>
      <c r="V51" s="43"/>
      <c r="W51" s="43"/>
      <c r="X51" s="43"/>
      <c r="Y51" s="43"/>
      <c r="Z51" s="43"/>
      <c r="AA51" s="44"/>
      <c r="AB51" s="44"/>
      <c r="AC51" s="40"/>
    </row>
    <row r="52" spans="1:29" ht="13.5" customHeight="1">
      <c r="A52" s="266"/>
      <c r="B52" s="431" t="s">
        <v>110</v>
      </c>
      <c r="C52" s="561">
        <f ca="1">C50+C51</f>
        <v>7500</v>
      </c>
      <c r="D52" s="434"/>
      <c r="E52" s="439">
        <f ca="1">E50+E51</f>
        <v>7500</v>
      </c>
      <c r="F52" s="592">
        <f ca="1">F50+F51</f>
        <v>7420.38849675</v>
      </c>
      <c r="G52" s="593"/>
      <c r="H52" s="428"/>
      <c r="Q52" s="43"/>
      <c r="R52" s="46"/>
      <c r="S52" s="43"/>
      <c r="T52" s="43"/>
      <c r="U52" s="43"/>
      <c r="V52" s="43"/>
      <c r="W52" s="43"/>
      <c r="X52" s="43"/>
      <c r="Y52" s="43"/>
      <c r="Z52" s="43"/>
      <c r="AA52" s="44"/>
      <c r="AB52" s="44"/>
      <c r="AC52" s="40"/>
    </row>
    <row r="53" spans="1:29" ht="13.5" customHeight="1">
      <c r="A53" s="266"/>
      <c r="B53" s="430" t="s">
        <v>166</v>
      </c>
      <c r="C53" s="560">
        <f ca="1">(Calculations!L19+Calculations!M19)</f>
        <v>39325.071564</v>
      </c>
      <c r="D53" s="433">
        <f ca="1">Calculations!M19</f>
        <v>1618.3715639999998</v>
      </c>
      <c r="E53" s="558">
        <v>39810</v>
      </c>
      <c r="F53" s="588">
        <f ca="1">E53-Calculations!O19</f>
        <v>38170.815307526878</v>
      </c>
      <c r="G53" s="589"/>
      <c r="H53" s="428"/>
      <c r="J53" s="82" t="str">
        <f ca="1">IF(E53&gt;(C53+D53),"You cannot borrow this much","")</f>
        <v/>
      </c>
      <c r="Q53" s="43"/>
      <c r="R53" s="43"/>
      <c r="S53" s="43"/>
      <c r="T53" s="43"/>
      <c r="U53" s="43"/>
      <c r="V53" s="43"/>
      <c r="W53" s="43"/>
      <c r="X53" s="43"/>
      <c r="Y53" s="43"/>
      <c r="Z53" s="43"/>
      <c r="AA53" s="44"/>
      <c r="AB53" s="44"/>
      <c r="AC53" s="40"/>
    </row>
    <row r="54" spans="1:29" ht="14.25" customHeight="1">
      <c r="A54" s="268"/>
      <c r="B54" s="430" t="s">
        <v>167</v>
      </c>
      <c r="C54" s="560">
        <f ca="1">IF(((C56-(E50+E51+E53))-Calculations!M19)&gt;0,(C56-(E50+E51+E53))-Calculations!M19,0)</f>
        <v>0</v>
      </c>
      <c r="D54" s="433"/>
      <c r="E54" s="557"/>
      <c r="F54" s="588">
        <f ca="1">E54</f>
        <v>0</v>
      </c>
      <c r="G54" s="589"/>
      <c r="H54" s="428"/>
      <c r="J54" s="82" t="str">
        <f ca="1">IF(E54&gt;C54,"You cannot borrow this much","")</f>
        <v/>
      </c>
      <c r="Q54" s="54"/>
      <c r="R54" s="41"/>
      <c r="S54" s="43"/>
      <c r="T54" s="41"/>
      <c r="U54" s="48"/>
      <c r="V54" s="48"/>
      <c r="W54" s="41"/>
      <c r="X54" s="41"/>
      <c r="Y54" s="43"/>
      <c r="Z54" s="43"/>
      <c r="AA54" s="44"/>
      <c r="AB54" s="44"/>
      <c r="AC54" s="40"/>
    </row>
    <row r="55" spans="1:29" ht="15.75" thickBot="1">
      <c r="A55" s="268"/>
      <c r="B55" s="431" t="s">
        <v>234</v>
      </c>
      <c r="C55" s="562">
        <f ca="1">IF(C53&gt;0, C53, C54)</f>
        <v>39325.071564</v>
      </c>
      <c r="D55" s="435"/>
      <c r="E55" s="440">
        <f ca="1">E53</f>
        <v>39810</v>
      </c>
      <c r="F55" s="594">
        <f ca="1">F53+F54</f>
        <v>38170.815307526878</v>
      </c>
      <c r="G55" s="595"/>
      <c r="H55" s="428"/>
      <c r="J55" s="82" t="str">
        <f ca="1">IF(E55&gt;(C55+D55),"You cannot borrow this much","")</f>
        <v>You cannot borrow this much</v>
      </c>
      <c r="K55" s="82"/>
      <c r="Q55" s="55"/>
      <c r="R55" s="56"/>
      <c r="S55" s="43"/>
      <c r="T55" s="43"/>
      <c r="U55" s="57"/>
      <c r="V55" s="57"/>
      <c r="W55" s="43"/>
      <c r="X55" s="43"/>
      <c r="Y55" s="43"/>
      <c r="Z55" s="43"/>
      <c r="AA55" s="44"/>
      <c r="AB55" s="44"/>
      <c r="AC55" s="40"/>
    </row>
    <row r="56" spans="1:29" ht="15.75" thickBot="1">
      <c r="A56" s="268"/>
      <c r="B56" s="432" t="s">
        <v>244</v>
      </c>
      <c r="C56" s="436">
        <f ca="1">SUM(C52+C55)</f>
        <v>46825.071564</v>
      </c>
      <c r="D56" s="437"/>
      <c r="E56" s="438">
        <f ca="1">SUM(E52+E55)</f>
        <v>47310</v>
      </c>
      <c r="F56" s="590">
        <f ca="1">F52+F55</f>
        <v>45591.203804276876</v>
      </c>
      <c r="G56" s="591"/>
      <c r="H56" s="428"/>
      <c r="J56" s="82" t="str">
        <f ca="1">IF((F56&gt;C56),"Error - please refer to funding team","")</f>
        <v/>
      </c>
      <c r="Q56" s="58"/>
      <c r="R56" s="59"/>
      <c r="S56" s="60"/>
      <c r="T56" s="43"/>
      <c r="U56" s="57"/>
      <c r="V56" s="57"/>
      <c r="W56" s="42"/>
      <c r="X56" s="43"/>
      <c r="Y56" s="42"/>
      <c r="Z56" s="42"/>
      <c r="AA56" s="42"/>
      <c r="AB56" s="42"/>
      <c r="AC56" s="40"/>
    </row>
    <row r="57" spans="1:29" ht="5.25" customHeight="1">
      <c r="A57" s="266"/>
      <c r="B57" s="266"/>
      <c r="C57" s="266"/>
      <c r="D57" s="266"/>
      <c r="E57" s="266"/>
      <c r="F57" s="266"/>
      <c r="G57" s="266"/>
      <c r="H57" s="266"/>
      <c r="Q57" s="58"/>
      <c r="R57" s="59"/>
      <c r="S57" s="60"/>
      <c r="T57" s="43"/>
      <c r="U57" s="57"/>
      <c r="V57" s="57"/>
      <c r="W57" s="43"/>
      <c r="X57" s="57"/>
      <c r="Y57" s="43"/>
      <c r="Z57" s="43"/>
      <c r="AA57" s="44"/>
      <c r="AB57" s="44"/>
      <c r="AC57" s="40"/>
    </row>
    <row r="58" spans="10:29" ht="13.5" customHeight="1">
      <c r="J58" s="82" t="str">
        <f ca="1">IF((F53+F54&gt;C56),"Error - have you entered both a PLUS and private loan that totals more than the total COA?","")</f>
        <v/>
      </c>
      <c r="Q58" s="58"/>
      <c r="R58" s="59"/>
      <c r="S58" s="60"/>
      <c r="T58" s="43"/>
      <c r="U58" s="57"/>
      <c r="V58" s="57"/>
      <c r="W58" s="43"/>
      <c r="X58" s="43"/>
      <c r="Y58" s="43"/>
      <c r="Z58" s="43"/>
      <c r="AA58" s="44"/>
      <c r="AB58" s="44"/>
      <c r="AC58" s="40"/>
    </row>
    <row r="59" spans="1:29">
      <c r="A59" s="395"/>
      <c r="J59" s="82"/>
      <c r="Q59" s="58"/>
      <c r="R59" s="59"/>
      <c r="S59" s="60"/>
      <c r="T59" s="41"/>
      <c r="U59" s="61"/>
      <c r="V59" s="57"/>
      <c r="W59" s="43"/>
      <c r="X59" s="43"/>
      <c r="Y59" s="43"/>
      <c r="Z59" s="57"/>
      <c r="AA59" s="43"/>
      <c r="AB59" s="43"/>
      <c r="AC59" s="40"/>
    </row>
    <row r="60" spans="17:29">
      <c r="Q60" s="58"/>
      <c r="R60" s="59"/>
      <c r="S60" s="60"/>
      <c r="T60" s="43"/>
      <c r="U60" s="57"/>
      <c r="V60" s="57"/>
      <c r="W60" s="43"/>
      <c r="X60" s="43"/>
      <c r="Y60" s="43"/>
      <c r="Z60" s="43"/>
      <c r="AA60" s="43"/>
      <c r="AB60" s="43"/>
      <c r="AC60" s="40"/>
    </row>
    <row r="61" spans="16:29">
      <c r="P61" s="238"/>
      <c r="Q61" s="244"/>
      <c r="R61" s="245"/>
      <c r="S61" s="246"/>
      <c r="T61" s="43"/>
      <c r="U61" s="57"/>
      <c r="V61" s="57"/>
      <c r="W61" s="43"/>
      <c r="X61" s="57"/>
      <c r="Y61" s="43"/>
      <c r="Z61" s="43"/>
      <c r="AA61" s="43"/>
      <c r="AB61" s="43"/>
      <c r="AC61" s="40"/>
    </row>
    <row r="62" spans="16:29">
      <c r="P62" s="238"/>
      <c r="Q62" s="244"/>
      <c r="R62" s="245"/>
      <c r="S62" s="246"/>
      <c r="T62" s="43"/>
      <c r="U62" s="57"/>
      <c r="V62" s="57"/>
      <c r="W62" s="43"/>
      <c r="X62" s="43"/>
      <c r="Y62" s="43"/>
      <c r="Z62" s="43"/>
      <c r="AA62" s="43"/>
      <c r="AB62" s="43"/>
      <c r="AC62" s="40"/>
    </row>
    <row r="63" spans="16:29">
      <c r="P63" s="238"/>
      <c r="Q63" s="247"/>
      <c r="R63" s="62"/>
      <c r="S63" s="248"/>
      <c r="T63" s="41"/>
      <c r="U63" s="61"/>
      <c r="V63" s="61"/>
      <c r="W63" s="43"/>
      <c r="X63" s="43"/>
      <c r="Y63" s="43"/>
      <c r="Z63" s="43"/>
      <c r="AA63" s="41"/>
      <c r="AB63" s="41"/>
      <c r="AC63" s="40"/>
    </row>
    <row r="64" spans="16:29">
      <c r="P64" s="238"/>
      <c r="Q64" s="244"/>
      <c r="R64" s="245"/>
      <c r="S64" s="246"/>
      <c r="T64" s="43"/>
      <c r="U64" s="57"/>
      <c r="V64" s="57"/>
      <c r="W64" s="43"/>
      <c r="X64" s="43"/>
      <c r="Y64" s="43"/>
      <c r="Z64" s="43"/>
      <c r="AA64" s="43"/>
      <c r="AB64" s="43"/>
      <c r="AC64" s="40"/>
    </row>
    <row r="65" spans="16:29">
      <c r="P65" s="238"/>
      <c r="Q65" s="247"/>
      <c r="R65" s="249"/>
      <c r="S65" s="246"/>
      <c r="T65" s="41"/>
      <c r="U65" s="57"/>
      <c r="V65" s="57"/>
      <c r="W65" s="42"/>
      <c r="X65" s="48"/>
      <c r="Y65" s="42"/>
      <c r="Z65" s="42"/>
      <c r="AA65" s="43"/>
      <c r="AB65" s="43"/>
      <c r="AC65" s="40"/>
    </row>
    <row r="66" spans="16:29">
      <c r="P66" s="238"/>
      <c r="Q66" s="246"/>
      <c r="R66" s="250"/>
      <c r="S66" s="246"/>
      <c r="T66" s="43"/>
      <c r="U66" s="57"/>
      <c r="V66" s="57"/>
      <c r="W66" s="48"/>
      <c r="X66" s="48"/>
      <c r="Y66" s="41"/>
      <c r="Z66" s="43"/>
      <c r="AA66" s="43"/>
      <c r="AB66" s="43"/>
      <c r="AC66" s="40"/>
    </row>
    <row r="67" spans="16:29">
      <c r="P67" s="238"/>
      <c r="Q67" s="247"/>
      <c r="R67" s="251"/>
      <c r="S67" s="246"/>
      <c r="T67" s="43"/>
      <c r="U67" s="57"/>
      <c r="V67" s="57"/>
      <c r="W67" s="43"/>
      <c r="X67" s="43"/>
      <c r="Y67" s="43"/>
      <c r="Z67" s="43"/>
      <c r="AA67" s="43"/>
      <c r="AB67" s="43"/>
      <c r="AC67" s="40"/>
    </row>
    <row r="68" spans="16:29">
      <c r="P68" s="238"/>
      <c r="Q68" s="244"/>
      <c r="R68" s="250"/>
      <c r="S68" s="246"/>
      <c r="T68" s="41"/>
      <c r="U68" s="61"/>
      <c r="V68" s="57"/>
      <c r="W68" s="63"/>
      <c r="X68" s="63"/>
      <c r="Y68" s="43"/>
      <c r="Z68" s="43"/>
      <c r="AA68" s="43"/>
      <c r="AB68" s="43"/>
      <c r="AC68" s="40"/>
    </row>
    <row r="69" spans="16:29">
      <c r="P69" s="238"/>
      <c r="Q69" s="244"/>
      <c r="R69" s="250"/>
      <c r="S69" s="246"/>
      <c r="T69" s="43"/>
      <c r="U69" s="43"/>
      <c r="V69" s="57"/>
      <c r="W69" s="64"/>
      <c r="X69" s="65"/>
      <c r="Y69" s="43"/>
      <c r="Z69" s="57"/>
      <c r="AA69" s="43"/>
      <c r="AB69" s="43"/>
      <c r="AC69" s="40"/>
    </row>
    <row r="70" spans="16:29">
      <c r="P70" s="238"/>
      <c r="Q70" s="244"/>
      <c r="R70" s="64"/>
      <c r="S70" s="64"/>
      <c r="T70" s="43"/>
      <c r="U70" s="43"/>
      <c r="V70" s="43"/>
      <c r="W70" s="64"/>
      <c r="X70" s="65"/>
      <c r="Y70" s="43"/>
      <c r="Z70" s="57"/>
      <c r="AA70" s="43"/>
      <c r="AB70" s="43"/>
      <c r="AC70" s="40"/>
    </row>
    <row r="71" spans="16:29">
      <c r="P71" s="238"/>
      <c r="Q71" s="244"/>
      <c r="R71" s="252"/>
      <c r="S71" s="246"/>
      <c r="T71" s="43"/>
      <c r="U71" s="43"/>
      <c r="V71" s="43"/>
      <c r="W71" s="64"/>
      <c r="X71" s="63"/>
      <c r="Y71" s="43"/>
      <c r="Z71" s="43"/>
      <c r="AA71" s="43"/>
      <c r="AB71" s="43"/>
      <c r="AC71" s="40"/>
    </row>
    <row r="72" spans="16:29">
      <c r="P72" s="238"/>
      <c r="Q72" s="247"/>
      <c r="R72" s="62"/>
      <c r="S72" s="246"/>
      <c r="T72" s="43"/>
      <c r="U72" s="43"/>
      <c r="V72" s="43"/>
      <c r="W72" s="64"/>
      <c r="X72" s="65"/>
      <c r="Y72" s="43"/>
      <c r="Z72" s="43"/>
      <c r="AA72" s="43"/>
      <c r="AB72" s="43"/>
      <c r="AC72" s="40"/>
    </row>
    <row r="73" spans="16:29">
      <c r="P73" s="238"/>
      <c r="Q73" s="253"/>
      <c r="R73" s="254"/>
      <c r="S73" s="64"/>
      <c r="T73" s="43"/>
      <c r="U73" s="43"/>
      <c r="V73" s="43"/>
      <c r="W73" s="64"/>
      <c r="X73" s="65"/>
      <c r="Y73" s="43"/>
      <c r="Z73" s="43"/>
      <c r="AA73" s="43"/>
      <c r="AB73" s="44"/>
      <c r="AC73" s="40"/>
    </row>
    <row r="74" spans="16:29">
      <c r="P74" s="238"/>
      <c r="Q74" s="253"/>
      <c r="R74" s="64"/>
      <c r="S74" s="64"/>
      <c r="T74" s="66"/>
      <c r="U74" s="66"/>
      <c r="V74" s="66"/>
      <c r="W74" s="66"/>
      <c r="X74" s="66"/>
      <c r="Y74" s="66"/>
      <c r="Z74" s="66"/>
      <c r="AA74" s="67"/>
      <c r="AB74" s="44"/>
      <c r="AC74" s="40"/>
    </row>
    <row r="75" spans="17:29">
      <c r="Q75" s="66"/>
      <c r="R75" s="66"/>
      <c r="S75" s="68"/>
      <c r="T75" s="66"/>
      <c r="U75" s="66"/>
      <c r="V75" s="66"/>
      <c r="W75" s="66"/>
      <c r="X75" s="66"/>
      <c r="Y75" s="66"/>
      <c r="Z75" s="66"/>
      <c r="AA75" s="67"/>
      <c r="AB75" s="67"/>
      <c r="AC75" s="40"/>
    </row>
    <row r="76" spans="17:29">
      <c r="Q76" s="66"/>
      <c r="R76" s="66"/>
      <c r="S76" s="68"/>
      <c r="T76" s="66"/>
      <c r="U76" s="66"/>
      <c r="V76" s="66"/>
      <c r="W76" s="66"/>
      <c r="X76" s="66"/>
      <c r="Y76" s="66"/>
      <c r="Z76" s="66"/>
      <c r="AA76" s="67"/>
      <c r="AB76" s="67"/>
      <c r="AC76" s="40"/>
    </row>
    <row r="77" spans="17:29">
      <c r="Q77" s="43"/>
      <c r="R77" s="66"/>
      <c r="S77" s="68"/>
      <c r="T77" s="66"/>
      <c r="U77" s="66"/>
      <c r="V77" s="66"/>
      <c r="W77" s="66"/>
      <c r="X77" s="66"/>
      <c r="Y77" s="66"/>
      <c r="Z77" s="66"/>
      <c r="AA77" s="67"/>
      <c r="AB77" s="67"/>
      <c r="AC77" s="40"/>
    </row>
    <row r="78" spans="17:29">
      <c r="Q78" s="43"/>
      <c r="R78" s="67"/>
      <c r="S78" s="67"/>
      <c r="T78" s="43"/>
      <c r="U78" s="43"/>
      <c r="V78" s="43"/>
      <c r="W78" s="43"/>
      <c r="X78" s="43"/>
      <c r="Y78" s="43"/>
      <c r="Z78" s="43"/>
      <c r="AA78" s="44"/>
      <c r="AB78" s="67"/>
      <c r="AC78" s="40"/>
    </row>
    <row r="79" spans="17:29">
      <c r="Q79" s="69"/>
      <c r="R79" s="70"/>
      <c r="S79" s="43"/>
      <c r="T79" s="43"/>
      <c r="U79" s="43"/>
      <c r="V79" s="67"/>
      <c r="W79" s="67"/>
      <c r="X79" s="67"/>
      <c r="Y79" s="43"/>
      <c r="Z79" s="43"/>
      <c r="AA79" s="44"/>
      <c r="AB79" s="44"/>
      <c r="AC79" s="40"/>
    </row>
    <row r="80" spans="17:29">
      <c r="Q80" s="71"/>
      <c r="R80" s="72"/>
      <c r="S80" s="43"/>
      <c r="T80" s="43"/>
      <c r="U80" s="43"/>
      <c r="V80" s="43"/>
      <c r="W80" s="43"/>
      <c r="X80" s="43"/>
      <c r="Y80" s="43"/>
      <c r="Z80" s="43"/>
      <c r="AA80" s="44"/>
      <c r="AB80" s="44"/>
      <c r="AC80" s="40"/>
    </row>
    <row r="81" spans="17:29">
      <c r="Q81" s="71"/>
      <c r="R81" s="72"/>
      <c r="S81" s="43"/>
      <c r="T81" s="43"/>
      <c r="U81" s="43"/>
      <c r="V81" s="43"/>
      <c r="W81" s="43"/>
      <c r="X81" s="43"/>
      <c r="Y81" s="43"/>
      <c r="Z81" s="43"/>
      <c r="AA81" s="44"/>
      <c r="AB81" s="44"/>
      <c r="AC81" s="40"/>
    </row>
    <row r="82" spans="17:29">
      <c r="Q82" s="71"/>
      <c r="R82" s="72"/>
      <c r="S82" s="43"/>
      <c r="T82" s="43"/>
      <c r="U82" s="43"/>
      <c r="V82" s="43"/>
      <c r="W82" s="43"/>
      <c r="X82" s="43"/>
      <c r="Y82" s="43"/>
      <c r="Z82" s="43"/>
      <c r="AA82" s="44"/>
      <c r="AB82" s="73"/>
      <c r="AC82" s="40"/>
    </row>
    <row r="83" spans="17:29" ht="15.75" thickBot="1">
      <c r="Q83" s="74"/>
      <c r="R83" s="75"/>
      <c r="S83" s="43"/>
      <c r="T83" s="43"/>
      <c r="U83" s="43"/>
      <c r="V83" s="43"/>
      <c r="W83" s="43"/>
      <c r="X83" s="43"/>
      <c r="Y83" s="43"/>
      <c r="Z83" s="76"/>
      <c r="AA83" s="73"/>
      <c r="AB83" s="44"/>
      <c r="AC83" s="40"/>
    </row>
    <row r="84" spans="17:29" ht="15.75" thickTop="1">
      <c r="Q84" s="43"/>
      <c r="R84" s="66"/>
      <c r="S84" s="41"/>
      <c r="T84" s="43"/>
      <c r="U84" s="43"/>
      <c r="V84" s="43"/>
      <c r="W84" s="43"/>
      <c r="X84" s="43"/>
      <c r="Y84" s="43"/>
      <c r="Z84" s="43"/>
      <c r="AA84" s="77"/>
      <c r="AB84" s="44"/>
      <c r="AC84" s="40"/>
    </row>
    <row r="85" spans="17:29">
      <c r="Q85" s="43"/>
      <c r="R85" s="66"/>
      <c r="S85" s="41"/>
      <c r="T85" s="43"/>
      <c r="U85" s="43"/>
      <c r="V85" s="43"/>
      <c r="W85" s="43"/>
      <c r="X85" s="43"/>
      <c r="Y85" s="43"/>
      <c r="Z85" s="43"/>
      <c r="AA85" s="44"/>
      <c r="AB85" s="44"/>
      <c r="AC85" s="40"/>
    </row>
    <row r="86" spans="17:29">
      <c r="Q86" s="43"/>
      <c r="R86" s="66"/>
      <c r="S86" s="68"/>
      <c r="T86" s="43"/>
      <c r="U86" s="43"/>
      <c r="V86" s="43"/>
      <c r="W86" s="43"/>
      <c r="X86" s="43"/>
      <c r="Y86" s="43"/>
      <c r="Z86" s="43"/>
      <c r="AA86" s="44"/>
      <c r="AB86" s="44"/>
      <c r="AC86" s="40"/>
    </row>
    <row r="87" spans="17:29">
      <c r="Q87" s="43"/>
      <c r="R87" s="66"/>
      <c r="S87" s="43"/>
      <c r="T87" s="43"/>
      <c r="U87" s="43"/>
      <c r="V87" s="43"/>
      <c r="W87" s="43"/>
      <c r="X87" s="43"/>
      <c r="Y87" s="43"/>
      <c r="Z87" s="43"/>
      <c r="AA87" s="44"/>
      <c r="AB87" s="44"/>
      <c r="AC87" s="40"/>
    </row>
    <row r="88" spans="17:29">
      <c r="Q88" s="43"/>
      <c r="R88" s="43"/>
      <c r="S88" s="43"/>
      <c r="T88" s="43"/>
      <c r="U88" s="43"/>
      <c r="V88" s="43"/>
      <c r="W88" s="43"/>
      <c r="X88" s="43"/>
      <c r="Y88" s="43"/>
      <c r="Z88" s="43"/>
      <c r="AA88" s="44"/>
      <c r="AB88" s="44"/>
      <c r="AC88" s="40"/>
    </row>
  </sheetData>
  <mergeCells count="17">
    <mergeCell ref="E40:F40"/>
    <mergeCell ref="E41:F41"/>
    <mergeCell ref="E42:F42"/>
    <mergeCell ref="E43:F43"/>
    <mergeCell ref="F49:G49"/>
    <mergeCell ref="F50:G50"/>
    <mergeCell ref="F51:G51"/>
    <mergeCell ref="F53:G53"/>
    <mergeCell ref="F54:G54"/>
    <mergeCell ref="F56:G56"/>
    <mergeCell ref="F52:G52"/>
    <mergeCell ref="F55:G55"/>
    <mergeCell ref="B2:G2"/>
    <mergeCell ref="C8:G8"/>
    <mergeCell ref="C9:D9"/>
    <mergeCell ref="F9:G9"/>
    <mergeCell ref="C12:G12"/>
  </mergeCells>
  <dataValidations count="4">
    <dataValidation type="list" allowBlank="1" showInputMessage="1" showErrorMessage="1" prompt="Select dependent or independent" sqref="D42">
      <formula1>"Dependent, Independent"</formula1>
    </dataValidation>
    <dataValidation type="list" allowBlank="1" showInputMessage="1" showErrorMessage="1" prompt="For undergraduate (degree) courses select year of entry.&#10;For Foundation level, select 0" sqref="D41">
      <formula1>"0,1,2,3+"</formula1>
    </dataValidation>
    <dataValidation type="list" allowBlank="1" showInputMessage="1" showErrorMessage="1" prompt="Select UG (undergraduate) for foundation or degree, PG (post graduate) for all masters courses" sqref="D40">
      <formula1>"UG, PG"</formula1>
    </dataValidation>
    <dataValidation allowBlank="1" showInputMessage="1" showErrorMessage="1" prompt="Enter the EFC from the top right of your SAR" sqref="C49"/>
  </dataValidations>
  <printOptions horizontalCentered="1"/>
  <pageMargins left="0.23622047244094491" right="0.23622047244094491" top="0.35433070866141736" bottom="0.15748031496062992" header="0" footer="0"/>
  <pageSetup paperSize="9" orientation="portrait"/>
  <ignoredErrors>
    <ignoredError sqref="J54" formula="1"/>
  </ignoredErrors>
  <drawing r:id="rId2"/>
</worksheet>
</file>

<file path=xl/worksheets/sheet3.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I33"/>
  <sheetViews>
    <sheetView showGridLines="0" showRowColHeaders="0" view="normal" workbookViewId="0">
      <selection pane="topLeft" activeCell="E43" sqref="E43"/>
    </sheetView>
  </sheetViews>
  <sheetFormatPr defaultRowHeight="15" baseColWidth="0"/>
  <cols>
    <col min="1" max="1" width="1.84765625" customWidth="1"/>
    <col min="2" max="2" width="53.84765625" customWidth="1"/>
    <col min="3" max="3" width="10.41796875" customWidth="1"/>
    <col min="4" max="4" width="94.41796875" customWidth="1"/>
    <col min="5" max="5" width="1.42578125" customWidth="1"/>
    <col min="7" max="7" width="9.140625" customWidth="1"/>
    <col min="8" max="8" width="8" customWidth="1"/>
  </cols>
  <sheetData>
    <row r="1" spans="6:9" ht="78.75" customHeight="1">
      <c r="F1" s="3"/>
      <c r="G1" s="3"/>
      <c r="H1" s="3"/>
      <c r="I1" s="4"/>
    </row>
    <row r="2" spans="1:9" ht="23.25">
      <c r="A2" s="116"/>
      <c r="B2" s="118" t="s">
        <v>38</v>
      </c>
      <c r="C2" s="119"/>
      <c r="D2" s="119"/>
      <c r="E2" s="117"/>
      <c r="F2" s="3"/>
      <c r="G2" s="3"/>
      <c r="H2" s="3"/>
      <c r="I2" s="4"/>
    </row>
    <row r="3" spans="1:9" customHeight="1">
      <c r="A3" s="115"/>
      <c r="B3" s="120"/>
      <c r="C3" s="109"/>
      <c r="D3" s="109"/>
      <c r="E3" s="113"/>
      <c r="F3" s="5"/>
      <c r="G3" s="5"/>
      <c r="H3" s="5"/>
      <c r="I3" s="4"/>
    </row>
    <row r="4" spans="1:9">
      <c r="A4" s="115"/>
      <c r="B4" s="121"/>
      <c r="C4" s="110"/>
      <c r="D4" s="110"/>
      <c r="E4" s="114"/>
      <c r="F4" s="5"/>
      <c r="G4" s="5"/>
      <c r="H4" s="5"/>
      <c r="I4" s="4"/>
    </row>
    <row r="5" spans="1:9" ht="15.75" thickBot="1">
      <c r="A5" s="115"/>
      <c r="B5" s="121"/>
      <c r="C5" s="110"/>
      <c r="D5" s="110"/>
      <c r="E5" s="114"/>
      <c r="F5" s="5"/>
      <c r="G5" s="5"/>
      <c r="H5" s="5"/>
      <c r="I5" s="4"/>
    </row>
    <row r="6" spans="1:9" ht="16.5" customHeight="1" thickBot="1">
      <c r="A6" s="115"/>
      <c r="B6" s="131" t="s">
        <v>39</v>
      </c>
      <c r="C6" s="132" t="s">
        <v>40</v>
      </c>
      <c r="D6" s="133" t="s">
        <v>41</v>
      </c>
      <c r="E6" s="114"/>
      <c r="F6" s="5"/>
      <c r="G6" s="5"/>
      <c r="H6" s="5"/>
      <c r="I6" s="4"/>
    </row>
    <row r="7" spans="1:9" ht="15.75" customHeight="1" thickBot="1">
      <c r="A7" s="115"/>
      <c r="B7" s="122" t="s">
        <v>85</v>
      </c>
      <c r="C7" s="229"/>
      <c r="D7" s="123" t="str">
        <f ca="1">IF((C7="no"),"Please do not submit your COA spreadsheet until you have been allocated an unconditional offer.","")</f>
        <v/>
      </c>
      <c r="E7" s="114"/>
      <c r="F7" s="3"/>
      <c r="G7" s="3"/>
      <c r="H7" s="140"/>
      <c r="I7" s="4"/>
    </row>
    <row r="8" spans="1:9" customHeight="1" thickBot="1">
      <c r="A8" s="115"/>
      <c r="B8" s="134" t="s">
        <v>43</v>
      </c>
      <c r="C8" s="135"/>
      <c r="D8" s="136"/>
      <c r="E8" s="113"/>
      <c r="F8" s="3"/>
      <c r="G8" s="3"/>
      <c r="H8" s="140"/>
      <c r="I8" s="4"/>
    </row>
    <row r="9" spans="1:9">
      <c r="A9" s="115"/>
      <c r="B9" s="124" t="s">
        <v>44</v>
      </c>
      <c r="C9" s="229"/>
      <c r="D9" s="125" t="str">
        <f ca="1">IF((C9="No"),"Please complete this now, otherwise your application cannot be processed.","")</f>
        <v/>
      </c>
      <c r="E9" s="113"/>
      <c r="F9" s="6"/>
      <c r="G9" s="6"/>
      <c r="H9" s="141"/>
      <c r="I9" s="4"/>
    </row>
    <row r="10" spans="1:9" ht="26.25" thickBot="1">
      <c r="A10" s="115"/>
      <c r="B10" s="122" t="s">
        <v>45</v>
      </c>
      <c r="C10" s="229"/>
      <c r="D10" s="123" t="str">
        <f ca="1">IF((C10="No"),"Please amend your FAFSA now, otherwise your application cannot be processed.","")</f>
        <v/>
      </c>
      <c r="E10" s="113"/>
      <c r="F10" s="6"/>
      <c r="G10" s="6"/>
      <c r="H10" s="141"/>
      <c r="I10" s="4"/>
    </row>
    <row r="11" spans="1:9" ht="15.75" thickBot="1">
      <c r="A11" s="115"/>
      <c r="B11" s="232" t="s">
        <v>46</v>
      </c>
      <c r="C11" s="233"/>
      <c r="D11" s="234"/>
      <c r="E11" s="113"/>
      <c r="F11" s="3"/>
      <c r="G11" s="3"/>
      <c r="H11" s="140" t="s">
        <v>42</v>
      </c>
      <c r="I11" s="4"/>
    </row>
    <row r="12" spans="1:9" ht="25.5">
      <c r="A12" s="115"/>
      <c r="B12" s="122" t="s">
        <v>47</v>
      </c>
      <c r="C12" s="229"/>
      <c r="D12" s="123" t="str">
        <f ca="1">IF((C12="no"),"Please go back to the COA worksheet and complete this.","")</f>
        <v/>
      </c>
      <c r="E12" s="113"/>
      <c r="F12" s="3"/>
      <c r="G12" s="3"/>
      <c r="H12" s="140" t="s">
        <v>48</v>
      </c>
      <c r="I12" s="4"/>
    </row>
    <row r="13" spans="1:9" ht="25.5">
      <c r="A13" s="115"/>
      <c r="B13" s="122" t="s">
        <v>49</v>
      </c>
      <c r="C13" s="229"/>
      <c r="D13" s="123" t="str">
        <f ca="1">IF((C13="no"),"Please go back to the COA worksheet and complete this.","")</f>
        <v/>
      </c>
      <c r="E13" s="113"/>
      <c r="F13" s="3"/>
      <c r="G13" s="3"/>
      <c r="H13" s="140"/>
      <c r="I13" s="4"/>
    </row>
    <row r="14" spans="1:9" ht="25.5">
      <c r="A14" s="115"/>
      <c r="B14" s="122" t="s">
        <v>51</v>
      </c>
      <c r="C14" s="229"/>
      <c r="D14" s="123" t="str">
        <f ca="1">IF((C14="no"),"Please go back to the COA worksheet and complete this.","")</f>
        <v/>
      </c>
      <c r="E14" s="113"/>
      <c r="F14" s="3"/>
      <c r="G14" s="3"/>
      <c r="H14" s="140"/>
      <c r="I14" s="4"/>
    </row>
    <row r="15" spans="1:9" ht="26.25" thickBot="1">
      <c r="A15" s="115"/>
      <c r="B15" s="122" t="s">
        <v>52</v>
      </c>
      <c r="C15" s="229"/>
      <c r="D15" s="123" t="str">
        <f ca="1">IF((C15="no"),"Please go back to the COA worksheet and complete this.","")</f>
        <v/>
      </c>
      <c r="E15" s="113"/>
      <c r="F15" s="3"/>
      <c r="G15" s="3"/>
      <c r="H15" s="140" t="s">
        <v>50</v>
      </c>
      <c r="I15" s="4"/>
    </row>
    <row r="16" spans="1:9" ht="15.75" thickBot="1">
      <c r="A16" s="115"/>
      <c r="B16" s="232" t="s">
        <v>53</v>
      </c>
      <c r="C16" s="235"/>
      <c r="D16" s="236"/>
      <c r="E16" s="113"/>
      <c r="F16" s="3"/>
      <c r="G16" s="3"/>
      <c r="H16" s="140" t="s">
        <v>86</v>
      </c>
      <c r="I16" s="4"/>
    </row>
    <row r="17" spans="1:9">
      <c r="A17" s="115"/>
      <c r="B17" s="122" t="s">
        <v>54</v>
      </c>
      <c r="C17" s="229"/>
      <c r="D17" s="126"/>
      <c r="E17" s="113"/>
      <c r="F17" s="3"/>
      <c r="G17" s="3"/>
      <c r="H17" s="140"/>
      <c r="I17" s="4"/>
    </row>
    <row r="18" spans="1:9">
      <c r="A18" s="115"/>
      <c r="B18" s="122" t="str">
        <f ca="1">IF((C17="male"),"Have you signed up for selective service?","")</f>
        <v/>
      </c>
      <c r="C18" s="229"/>
      <c r="D18" s="123" t="str">
        <f ca="1">IF((C17="male"),"Complete this section now","")</f>
        <v/>
      </c>
      <c r="E18" s="113"/>
      <c r="F18" s="3"/>
      <c r="G18" s="3"/>
      <c r="H18" s="140"/>
      <c r="I18" s="4"/>
    </row>
    <row r="19" spans="1:9" ht="15.75" thickBot="1">
      <c r="A19" s="115"/>
      <c r="B19" s="122" t="str">
        <f ca="1">IF(((C17="male")*AND(C18="No")),"Have you attached proof you are exempt from selective service?","")</f>
        <v/>
      </c>
      <c r="C19" s="229"/>
      <c r="D19" s="123" t="str">
        <f ca="1">IF(((C17="male")*AND(C18="No")),"Complete this section now","")</f>
        <v/>
      </c>
      <c r="E19" s="113"/>
      <c r="F19" s="3"/>
      <c r="G19" s="3"/>
      <c r="H19" s="140"/>
      <c r="I19" s="4"/>
    </row>
    <row r="20" spans="1:9" ht="15.75" thickBot="1">
      <c r="A20" s="115"/>
      <c r="B20" s="137" t="s">
        <v>55</v>
      </c>
      <c r="C20" s="138"/>
      <c r="D20" s="139"/>
      <c r="E20" s="113"/>
      <c r="F20" s="3"/>
      <c r="G20" s="3"/>
      <c r="H20" s="140"/>
      <c r="I20" s="4"/>
    </row>
    <row r="21" spans="1:9" ht="15.75" customHeight="1">
      <c r="A21" s="115"/>
      <c r="B21" s="124" t="s">
        <v>56</v>
      </c>
      <c r="C21" s="230"/>
      <c r="D21" s="127"/>
      <c r="E21" s="113"/>
      <c r="F21" s="6"/>
      <c r="G21" s="6"/>
      <c r="H21" s="141"/>
      <c r="I21" s="4"/>
    </row>
    <row r="22" spans="1:9">
      <c r="A22" s="115"/>
      <c r="B22" s="122" t="str">
        <f ca="1">IF((C21="Yes"),"Have you completed your MPN, stating your college code?","")</f>
        <v/>
      </c>
      <c r="C22" s="229"/>
      <c r="D22" s="123" t="str">
        <f ca="1">IF((C21="Yes"),"Complete this section now","")</f>
        <v/>
      </c>
      <c r="E22" s="113"/>
      <c r="F22" s="3"/>
      <c r="G22" s="3"/>
      <c r="H22" s="3"/>
      <c r="I22" s="4"/>
    </row>
    <row r="23" spans="1:9">
      <c r="A23" s="115"/>
      <c r="B23" s="122" t="s">
        <v>57</v>
      </c>
      <c r="C23" s="229"/>
      <c r="D23" s="123"/>
      <c r="E23" s="113"/>
      <c r="F23" s="3"/>
      <c r="G23" s="3"/>
      <c r="H23" s="3"/>
      <c r="I23" s="4"/>
    </row>
    <row r="24" spans="1:9" ht="15.75" thickBot="1">
      <c r="A24" s="115"/>
      <c r="B24" s="122" t="str">
        <f ca="1">IF((C23="Yes"),"Have you completed your PLUS MPN, stating your college code?","")</f>
        <v/>
      </c>
      <c r="C24" s="229"/>
      <c r="D24" s="123" t="str">
        <f ca="1">IF((C23="Yes"),"Complete this section now","")</f>
        <v/>
      </c>
      <c r="E24" s="113"/>
      <c r="F24" s="3"/>
      <c r="G24" s="3"/>
      <c r="H24" s="3"/>
      <c r="I24" s="4"/>
    </row>
    <row r="25" spans="1:9" ht="15.75" thickBot="1">
      <c r="A25" s="115"/>
      <c r="B25" s="137" t="s">
        <v>58</v>
      </c>
      <c r="C25" s="138"/>
      <c r="D25" s="139"/>
      <c r="E25" s="113"/>
      <c r="F25" s="3"/>
      <c r="G25" s="3"/>
      <c r="H25" s="3"/>
      <c r="I25" s="4"/>
    </row>
    <row r="26" spans="1:9">
      <c r="A26" s="115"/>
      <c r="B26" s="124" t="s">
        <v>59</v>
      </c>
      <c r="C26" s="229"/>
      <c r="D26" s="128"/>
      <c r="E26" s="113"/>
      <c r="F26" s="6"/>
      <c r="G26" s="6"/>
      <c r="H26" s="6"/>
      <c r="I26" s="4"/>
    </row>
    <row r="27" spans="1:9">
      <c r="A27" s="115"/>
      <c r="B27" s="122" t="str">
        <f ca="1">IF((C26="Yes"),"Have you completed entrance counselling?","")</f>
        <v/>
      </c>
      <c r="C27" s="229"/>
      <c r="D27" s="123" t="str">
        <f ca="1">IF((C27="no"),"Please complete this now, otherwise your application cannot be processed.","")</f>
        <v/>
      </c>
      <c r="E27" s="113"/>
      <c r="F27" s="3"/>
      <c r="G27" s="3"/>
      <c r="H27" s="3"/>
      <c r="I27" s="4"/>
    </row>
    <row r="28" spans="1:9" ht="15.75" thickBot="1">
      <c r="A28" s="115"/>
      <c r="B28" s="129"/>
      <c r="C28" s="231"/>
      <c r="D28" s="130" t="str">
        <f ca="1">IF(OR(C27="Yes", C26="No"), "Thank you, you have now completed the checklist","")</f>
        <v/>
      </c>
      <c r="E28" s="113"/>
      <c r="F28" s="4"/>
      <c r="G28" s="4"/>
      <c r="H28" s="4"/>
      <c r="I28" s="4"/>
    </row>
    <row r="29" spans="1:9">
      <c r="A29" s="111"/>
      <c r="B29" s="111"/>
      <c r="C29" s="111"/>
      <c r="D29" s="112"/>
      <c r="E29" s="112"/>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sheetData>
  <dataValidations count="2">
    <dataValidation type="list" allowBlank="1" showInputMessage="1" showErrorMessage="1" sqref="C17">
      <formula1>$H$14:$H$16</formula1>
    </dataValidation>
    <dataValidation type="list" allowBlank="1" showInputMessage="1" showErrorMessage="1" sqref="C7 C9:C10 C12:C15 C18:C19 C21:C24 C26:C27">
      <formula1>$H$10:$H$12</formula1>
    </dataValidation>
  </dataValidations>
  <pageMargins left="0.70866141732283472" right="0.70866141732283472" top="0.74803149606299213" bottom="0.74803149606299213" header="0.31496062992125984" footer="0.31496062992125984"/>
  <pageSetup paperSize="9" orientation="landscape"/>
  <drawing r:id="rId2"/>
</worksheet>
</file>

<file path=xl/worksheets/sheet4.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B1:J63"/>
  <sheetViews>
    <sheetView showGridLines="0" showRowColHeaders="0" view="normal" workbookViewId="0">
      <selection pane="topLeft" activeCell="B39" sqref="B39"/>
    </sheetView>
  </sheetViews>
  <sheetFormatPr defaultRowHeight="15" baseColWidth="0"/>
  <cols>
    <col min="1" max="1" width="2.5703125" customWidth="1"/>
    <col min="2" max="2" width="38.84765625" customWidth="1"/>
    <col min="3" max="3" width="40.5703125" customWidth="1"/>
  </cols>
  <sheetData>
    <row r="1" spans="2:9" ht="8.25" customHeight="1">
      <c r="B1" s="223"/>
      <c r="C1" s="224"/>
      <c r="D1" s="222"/>
      <c r="E1" s="222"/>
      <c r="F1" s="222"/>
      <c r="G1" s="79"/>
      <c r="H1" s="220"/>
      <c r="I1" s="160"/>
    </row>
    <row r="2" spans="2:9" ht="15.75">
      <c r="B2" s="226">
        <f ca="1">'COA worksheet'!C8</f>
        <v>0</v>
      </c>
      <c r="C2" s="168"/>
      <c r="D2" s="222"/>
      <c r="E2" s="222"/>
      <c r="F2" s="222"/>
      <c r="G2" s="79"/>
      <c r="H2" s="220"/>
      <c r="I2" s="160"/>
    </row>
    <row r="3" spans="2:9">
      <c r="B3" s="606">
        <f ca="1">'COA worksheet'!C10</f>
        <v>0</v>
      </c>
      <c r="C3" s="225"/>
      <c r="D3" s="225"/>
      <c r="E3" s="225"/>
      <c r="F3" s="225"/>
      <c r="G3" s="225"/>
      <c r="H3" s="225"/>
      <c r="I3" s="225"/>
    </row>
    <row r="4" spans="2:9" ht="15.75">
      <c r="B4" s="606"/>
      <c r="C4" s="168"/>
      <c r="D4" s="221"/>
      <c r="E4" s="221"/>
      <c r="F4" s="221"/>
      <c r="G4" s="221"/>
      <c r="H4" s="221"/>
      <c r="I4" s="221"/>
    </row>
    <row r="5" spans="2:3" ht="15.75">
      <c r="B5" s="606"/>
      <c r="C5" s="168"/>
    </row>
    <row r="6" spans="2:9" ht="15.75" customHeight="1">
      <c r="B6" s="226">
        <f ca="1">'COA worksheet'!C9</f>
        <v>0</v>
      </c>
      <c r="C6" s="225"/>
      <c r="D6" s="225"/>
      <c r="E6" s="225"/>
      <c r="F6" s="225"/>
      <c r="G6" s="225"/>
      <c r="H6" s="225"/>
      <c r="I6" s="225"/>
    </row>
    <row r="7" spans="2:4" ht="6.75" customHeight="1">
      <c r="B7" s="226"/>
      <c r="C7" s="168"/>
      <c r="D7" s="162"/>
    </row>
    <row r="8" spans="2:4" ht="18">
      <c r="B8" s="242" t="s">
        <v>88</v>
      </c>
      <c r="C8" s="163"/>
      <c r="D8" s="162"/>
    </row>
    <row r="9" spans="2:4" ht="18">
      <c r="B9" s="243" t="str">
        <f ca="1">Calculations!E9</f>
        <v>Academic Year 2015/2016</v>
      </c>
      <c r="C9" s="163"/>
      <c r="D9" s="162"/>
    </row>
    <row r="10" spans="2:4" ht="4.5" customHeight="1">
      <c r="B10" s="169"/>
      <c r="C10" s="168"/>
      <c r="D10" s="162"/>
    </row>
    <row r="11" spans="2:4">
      <c r="B11" s="161" t="s">
        <v>89</v>
      </c>
      <c r="C11" s="161"/>
      <c r="D11" s="162"/>
    </row>
    <row r="12" spans="2:4" ht="6" customHeight="1">
      <c r="B12" s="161"/>
      <c r="C12" s="161"/>
      <c r="D12" s="162"/>
    </row>
    <row r="13" spans="2:4">
      <c r="B13" s="210" t="s">
        <v>90</v>
      </c>
      <c r="C13" s="170">
        <f ca="1">'COA worksheet'!C8</f>
        <v>0</v>
      </c>
      <c r="D13" s="162"/>
    </row>
    <row r="14" spans="2:4" ht="15.75" customHeight="1">
      <c r="B14" s="210" t="s">
        <v>91</v>
      </c>
      <c r="C14" s="172">
        <f ca="1">'COA worksheet'!F9</f>
        <v>0</v>
      </c>
      <c r="D14" s="162"/>
    </row>
    <row r="15" spans="2:4">
      <c r="B15" s="210" t="s">
        <v>16</v>
      </c>
      <c r="C15" s="170">
        <f ca="1">'COA worksheet'!C9</f>
        <v>0</v>
      </c>
      <c r="D15" s="162"/>
    </row>
    <row r="16" spans="2:4" ht="5.25" customHeight="1">
      <c r="B16" s="161"/>
      <c r="C16" s="161"/>
      <c r="D16" s="162"/>
    </row>
    <row r="17" spans="2:4">
      <c r="B17" s="161" t="s">
        <v>92</v>
      </c>
      <c r="C17" s="161"/>
      <c r="D17" s="162"/>
    </row>
    <row r="18" spans="2:4" ht="6" customHeight="1">
      <c r="B18" s="161"/>
      <c r="C18" s="161"/>
      <c r="D18" s="162"/>
    </row>
    <row r="19" spans="2:4" ht="68.25" customHeight="1">
      <c r="B19" s="605" t="s">
        <v>101</v>
      </c>
      <c r="C19" s="605"/>
      <c r="D19" s="162"/>
    </row>
    <row r="20" spans="2:4" ht="6" customHeight="1">
      <c r="B20" s="171"/>
      <c r="C20" s="161"/>
      <c r="D20" s="162"/>
    </row>
    <row r="21" spans="2:4">
      <c r="B21" s="173" t="s">
        <v>115</v>
      </c>
      <c r="C21" s="173"/>
      <c r="D21" s="162"/>
    </row>
    <row r="22" spans="2:4" ht="13.5" customHeight="1">
      <c r="B22" s="211" t="s">
        <v>93</v>
      </c>
      <c r="C22" s="172">
        <f ca="1">IF(('COA worksheet'!D40="UG"), Calculations!F11, Calculations!F13)</f>
        <v>42275</v>
      </c>
      <c r="D22" s="164"/>
    </row>
    <row r="23" spans="2:4" ht="15.75" customHeight="1">
      <c r="B23" s="211" t="s">
        <v>94</v>
      </c>
      <c r="C23" s="172">
        <f ca="1">IF(('COA worksheet'!D40="UG"), Calculations!F12, Calculations!F14)</f>
        <v>42551</v>
      </c>
      <c r="D23" s="164"/>
    </row>
    <row r="24" spans="2:4" ht="5.25" customHeight="1">
      <c r="B24" s="173"/>
      <c r="C24" s="173"/>
      <c r="D24" s="164"/>
    </row>
    <row r="25" spans="2:4" customHeight="1">
      <c r="B25" s="173" t="s">
        <v>116</v>
      </c>
      <c r="C25" s="173"/>
      <c r="D25" s="162"/>
    </row>
    <row r="26" spans="2:4">
      <c r="B26" s="210" t="s">
        <v>64</v>
      </c>
      <c r="C26" s="174" t="s">
        <v>95</v>
      </c>
      <c r="D26" s="165"/>
    </row>
    <row r="27" spans="2:4">
      <c r="B27" s="210" t="s">
        <v>96</v>
      </c>
      <c r="C27" s="175">
        <f ca="1">'COA worksheet'!F50</f>
        <v>5441.61823095</v>
      </c>
      <c r="D27" s="165"/>
    </row>
    <row r="28" spans="2:4" customHeight="1">
      <c r="B28" s="210" t="s">
        <v>97</v>
      </c>
      <c r="C28" s="175">
        <f ca="1">'COA worksheet'!F51</f>
        <v>1978.7702658</v>
      </c>
      <c r="D28" s="165"/>
    </row>
    <row r="29" spans="2:4">
      <c r="B29" s="210" t="s">
        <v>98</v>
      </c>
      <c r="C29" s="175">
        <f ca="1">'COA worksheet'!F53</f>
        <v>38170.815307526878</v>
      </c>
      <c r="D29" s="165"/>
    </row>
    <row r="30" spans="2:3">
      <c r="B30" s="210" t="s">
        <v>239</v>
      </c>
      <c r="C30" s="175">
        <f ca="1">'COA worksheet'!C54</f>
        <v>0</v>
      </c>
    </row>
    <row r="31" spans="2:4" ht="14.25" customHeight="1" thickBot="1">
      <c r="B31" s="212" t="s">
        <v>235</v>
      </c>
      <c r="C31" s="175">
        <f ca="1">SUM(C27:C29)</f>
        <v>45591.203804276876</v>
      </c>
      <c r="D31" s="165"/>
    </row>
    <row r="32" spans="2:4" ht="6" customHeight="1" thickTop="1">
      <c r="B32" s="173"/>
      <c r="C32" s="176"/>
      <c r="D32" s="165"/>
    </row>
    <row r="33" spans="2:4">
      <c r="B33" s="173" t="s">
        <v>99</v>
      </c>
      <c r="C33" s="176"/>
      <c r="D33" s="165"/>
    </row>
    <row r="34" spans="2:4">
      <c r="B34" s="213">
        <f ca="1">Calculations!G17</f>
        <v>42278</v>
      </c>
      <c r="C34" s="214">
        <f ca="1">Calculations!H17</f>
        <v>15197.067934758959</v>
      </c>
      <c r="D34" s="165"/>
    </row>
    <row r="35" spans="2:4" customHeight="1">
      <c r="B35" s="213">
        <f ca="1">Calculations!G18</f>
        <v>42387</v>
      </c>
      <c r="C35" s="214">
        <f ca="1">Calculations!H18</f>
        <v>15197.067934758959</v>
      </c>
      <c r="D35" s="166"/>
    </row>
    <row r="36" spans="2:4">
      <c r="B36" s="215">
        <f ca="1">Calculations!G19</f>
        <v>42480</v>
      </c>
      <c r="C36" s="216">
        <f ca="1">Calculations!H19</f>
        <v>15197.067934758959</v>
      </c>
      <c r="D36" s="166"/>
    </row>
    <row r="37" spans="2:4" ht="14.25" customHeight="1" thickBot="1">
      <c r="B37" s="217" t="s">
        <v>35</v>
      </c>
      <c r="C37" s="218">
        <f ca="1">SUM(C34:C36)</f>
        <v>45591.203804276876</v>
      </c>
      <c r="D37" s="162"/>
    </row>
    <row r="38" spans="4:4" ht="7.5" customHeight="1" thickTop="1">
      <c r="D38" s="162"/>
    </row>
    <row r="39" spans="2:10">
      <c r="B39" s="572" t="s">
        <v>267</v>
      </c>
      <c r="C39" s="573"/>
      <c r="D39" s="574"/>
      <c r="E39" s="397"/>
      <c r="F39" s="397"/>
      <c r="G39" s="570"/>
      <c r="H39" s="570"/>
      <c r="I39" s="571"/>
      <c r="J39" s="571"/>
    </row>
    <row r="40" spans="2:4" ht="14.25" customHeight="1">
      <c r="B40" s="411" t="s">
        <v>266</v>
      </c>
      <c r="C40" s="411"/>
      <c r="D40" s="164"/>
    </row>
    <row r="41" spans="2:3" customHeight="1">
      <c r="B41" s="410" t="s">
        <v>265</v>
      </c>
      <c r="C41" s="410"/>
    </row>
    <row r="42" spans="2:4" ht="6.75" customHeight="1">
      <c r="B42" s="393"/>
      <c r="C42" s="393"/>
      <c r="D42" s="164"/>
    </row>
    <row r="43" spans="2:4" ht="15.75" customHeight="1">
      <c r="B43" s="219" t="s">
        <v>106</v>
      </c>
      <c r="C43" s="219"/>
      <c r="D43" s="164"/>
    </row>
    <row r="44" spans="2:4">
      <c r="B44" s="219" t="s">
        <v>107</v>
      </c>
      <c r="C44" s="219"/>
      <c r="D44" s="164"/>
    </row>
    <row r="45" spans="2:4">
      <c r="B45" s="227" t="s">
        <v>108</v>
      </c>
      <c r="C45" s="219"/>
      <c r="D45" s="162"/>
    </row>
    <row r="46" spans="2:4" ht="4.5" customHeight="1">
      <c r="B46" s="409"/>
      <c r="C46" s="219"/>
      <c r="D46" s="162"/>
    </row>
    <row r="47" spans="2:4" ht="14.25" customHeight="1">
      <c r="B47" s="219" t="s">
        <v>263</v>
      </c>
      <c r="C47" s="219"/>
      <c r="D47" s="164"/>
    </row>
    <row r="48" spans="2:4">
      <c r="B48" s="219" t="s">
        <v>264</v>
      </c>
      <c r="C48" s="219"/>
      <c r="D48" s="164"/>
    </row>
    <row r="49" spans="2:4" ht="14.25" customHeight="1">
      <c r="B49" s="219" t="s">
        <v>240</v>
      </c>
      <c r="C49" s="219"/>
      <c r="D49" s="164"/>
    </row>
    <row r="50" spans="2:4" ht="4.5" customHeight="1">
      <c r="B50" s="219"/>
      <c r="C50" s="219"/>
      <c r="D50" s="164"/>
    </row>
    <row r="51" spans="2:4">
      <c r="B51" s="219" t="s">
        <v>104</v>
      </c>
      <c r="C51" s="219"/>
      <c r="D51" s="164"/>
    </row>
    <row r="52" spans="2:4" ht="4.5" customHeight="1">
      <c r="B52" s="227"/>
      <c r="C52" s="219"/>
      <c r="D52" s="162"/>
    </row>
    <row r="53" spans="2:4">
      <c r="B53" s="227" t="s">
        <v>100</v>
      </c>
      <c r="C53" s="228">
        <f ca="1">TODAY()</f>
        <v>42194</v>
      </c>
      <c r="D53" s="165"/>
    </row>
    <row r="54" spans="2:4">
      <c r="B54" s="393"/>
      <c r="C54" s="393"/>
      <c r="D54" s="165"/>
    </row>
    <row r="55" spans="4:4">
      <c r="D55" s="165"/>
    </row>
    <row r="56" spans="4:4">
      <c r="D56" s="165"/>
    </row>
    <row r="57" spans="4:4">
      <c r="D57" s="165"/>
    </row>
    <row r="58" spans="4:4">
      <c r="D58" s="165"/>
    </row>
    <row r="59" spans="4:4">
      <c r="D59" s="165"/>
    </row>
    <row r="60" spans="4:4">
      <c r="D60" s="165"/>
    </row>
    <row r="61" spans="4:4">
      <c r="D61" s="165"/>
    </row>
    <row r="62" spans="4:4">
      <c r="D62" s="165"/>
    </row>
    <row r="63" spans="2:4">
      <c r="B63" s="162"/>
      <c r="C63" s="162"/>
      <c r="D63" s="162"/>
    </row>
  </sheetData>
  <sheetProtection algorithmName="SHA-512" hashValue="galiiXc4afdth13PUQxhIvxZwZXRzXPjm9OhKg5HuK76h3MPX7C142M9LOqEyvSSWrIXA94yOJepYHaOypWVxQ==" saltValue="ociDXw4iz3lLqhRT/s1tDA==" spinCount="100000" sheet="1" objects="1" scenarios="1" selectLockedCells="1" selectUnlockedCells="1"/>
  <mergeCells count="2">
    <mergeCell ref="B19:C19"/>
    <mergeCell ref="B3:B5"/>
  </mergeCells>
  <pageMargins left="0.7" right="0.7" top="0.75" bottom="0.75" header="0.3" footer="0.3"/>
  <pageSetup paperSize="9" orientation="portrait"/>
  <drawing r:id="rId2"/>
</worksheet>
</file>

<file path=xl/worksheets/sheet5.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U60"/>
  <sheetViews>
    <sheetView view="normal" workbookViewId="0">
      <selection pane="topLeft" activeCell="C15" sqref="C15"/>
    </sheetView>
  </sheetViews>
  <sheetFormatPr defaultRowHeight="15" baseColWidth="0"/>
  <cols>
    <col min="1" max="1" width="2.41796875" customWidth="1"/>
    <col min="2" max="2" width="20" customWidth="1"/>
    <col min="3" max="3" width="11.140625" customWidth="1"/>
    <col min="4" max="4" width="2" customWidth="1"/>
    <col min="5" max="5" width="14.84765625" customWidth="1"/>
    <col min="6" max="6" width="15.41796875" customWidth="1"/>
    <col min="7" max="7" width="17.41796875" customWidth="1"/>
    <col min="8" max="8" width="10.140625" customWidth="1"/>
    <col min="9" max="9" width="9.7109375" customWidth="1"/>
    <col min="10" max="10" width="1.56640625" customWidth="1"/>
    <col min="11" max="11" width="14.7109375" customWidth="1"/>
    <col min="12" max="13" width="11.7109375" customWidth="1"/>
    <col min="14" max="14" width="10.27734375" customWidth="1"/>
    <col min="15" max="15" width="11.5703125" customWidth="1"/>
    <col min="16" max="16" width="2" customWidth="1"/>
    <col min="17" max="17" width="31.140625" customWidth="1"/>
    <col min="18" max="19" width="3.27734375" customWidth="1"/>
    <col min="20" max="20" width="42.5703125" customWidth="1"/>
    <col min="21" max="21" width="30.84765625" customWidth="1"/>
  </cols>
  <sheetData>
    <row r="1" spans="1:18">
      <c r="A1" s="31"/>
      <c r="B1" s="28"/>
      <c r="C1" s="28"/>
      <c r="D1" s="4"/>
      <c r="E1" s="103"/>
      <c r="F1" s="182"/>
      <c r="G1" s="183"/>
      <c r="H1" s="184"/>
      <c r="I1" s="184"/>
      <c r="J1" s="184"/>
      <c r="Q1" s="184"/>
      <c r="R1" s="83"/>
    </row>
    <row r="2" spans="1:20">
      <c r="A2" s="32"/>
      <c r="B2" s="315" t="s">
        <v>127</v>
      </c>
      <c r="C2" s="105"/>
      <c r="D2" s="105"/>
      <c r="E2" s="315" t="s">
        <v>123</v>
      </c>
      <c r="F2" s="607" t="s">
        <v>132</v>
      </c>
      <c r="G2" s="608"/>
      <c r="H2" s="108"/>
      <c r="I2" s="187"/>
      <c r="K2" s="419">
        <v>97000</v>
      </c>
      <c r="L2" s="503" t="s">
        <v>223</v>
      </c>
      <c r="M2" s="505"/>
      <c r="N2" s="505"/>
      <c r="O2" s="506"/>
      <c r="Q2" s="366" t="s">
        <v>139</v>
      </c>
      <c r="R2" s="367" t="s">
        <v>149</v>
      </c>
      <c r="S2" s="365"/>
      <c r="T2" s="368" t="s">
        <v>141</v>
      </c>
    </row>
    <row r="3" spans="1:20" ht="14.25" customHeight="1">
      <c r="A3" s="34"/>
      <c r="B3" s="314" t="s">
        <v>122</v>
      </c>
      <c r="C3" s="318"/>
      <c r="D3" s="318"/>
      <c r="E3" s="315" t="s">
        <v>125</v>
      </c>
      <c r="F3" s="609" t="s">
        <v>126</v>
      </c>
      <c r="G3" s="610"/>
      <c r="H3" s="108"/>
      <c r="I3" s="187"/>
      <c r="K3" s="420">
        <f ca="1">K2*(1+O26)</f>
        <v>101163.24</v>
      </c>
      <c r="L3" s="507" t="s">
        <v>224</v>
      </c>
      <c r="M3" s="508"/>
      <c r="N3" s="508"/>
      <c r="O3" s="509"/>
      <c r="Q3" s="340" t="s">
        <v>157</v>
      </c>
      <c r="R3" s="386"/>
      <c r="T3" s="340" t="s">
        <v>152</v>
      </c>
    </row>
    <row r="4" spans="1:20" ht="14.25" customHeight="1">
      <c r="A4" s="260"/>
      <c r="B4" s="312" t="s">
        <v>124</v>
      </c>
      <c r="C4" s="318"/>
      <c r="D4" s="318"/>
      <c r="E4" s="313" t="s">
        <v>128</v>
      </c>
      <c r="F4" s="611" t="s">
        <v>247</v>
      </c>
      <c r="G4" s="612"/>
      <c r="H4" s="108"/>
      <c r="I4" s="187"/>
      <c r="K4" s="421"/>
      <c r="L4" s="421"/>
      <c r="M4" s="421"/>
      <c r="N4" s="421"/>
      <c r="O4" s="421"/>
      <c r="Q4" s="368" t="s">
        <v>140</v>
      </c>
      <c r="R4" s="387"/>
      <c r="S4" s="365"/>
      <c r="T4" s="365"/>
    </row>
    <row r="5" spans="1:20" customHeight="1">
      <c r="A5" s="34"/>
      <c r="B5" s="105"/>
      <c r="C5" s="105"/>
      <c r="D5" s="106"/>
      <c r="G5" s="185"/>
      <c r="H5" s="186"/>
      <c r="I5" s="187"/>
      <c r="K5" s="502"/>
      <c r="L5" s="503" t="s">
        <v>237</v>
      </c>
      <c r="M5" s="503" t="s">
        <v>238</v>
      </c>
      <c r="N5" s="511" t="s">
        <v>35</v>
      </c>
      <c r="O5" s="504" t="s">
        <v>246</v>
      </c>
      <c r="Q5" s="360" t="s">
        <v>153</v>
      </c>
      <c r="R5" s="388"/>
      <c r="S5" s="341"/>
      <c r="T5" s="360" t="s">
        <v>169</v>
      </c>
    </row>
    <row r="6" spans="2:20" ht="13.5" customHeight="1">
      <c r="B6" s="300" t="s">
        <v>120</v>
      </c>
      <c r="C6" s="301"/>
      <c r="D6" s="301"/>
      <c r="E6" s="302"/>
      <c r="F6" s="303"/>
      <c r="I6" s="187"/>
      <c r="K6" s="416" t="s">
        <v>211</v>
      </c>
      <c r="L6" s="422">
        <f ca="1">'COA worksheet'!G37</f>
        <v>45206.7</v>
      </c>
      <c r="M6" s="422"/>
      <c r="N6" s="517"/>
      <c r="O6" s="423"/>
      <c r="Q6" s="360" t="s">
        <v>154</v>
      </c>
      <c r="R6" s="388"/>
      <c r="S6" s="341"/>
      <c r="T6" s="360" t="s">
        <v>142</v>
      </c>
    </row>
    <row r="7" spans="2:20">
      <c r="B7" s="613" t="s">
        <v>183</v>
      </c>
      <c r="C7" s="614"/>
      <c r="D7" s="614"/>
      <c r="E7" s="614"/>
      <c r="F7" s="615"/>
      <c r="J7" s="319"/>
      <c r="K7" s="416" t="s">
        <v>212</v>
      </c>
      <c r="L7" s="422">
        <f ca="1">'COA worksheet'!G40</f>
        <v>0</v>
      </c>
      <c r="M7" s="425"/>
      <c r="N7" s="517"/>
      <c r="O7" s="423"/>
      <c r="Q7" s="342" t="s">
        <v>155</v>
      </c>
      <c r="R7" s="388"/>
      <c r="S7" s="341"/>
      <c r="T7" s="360" t="s">
        <v>143</v>
      </c>
    </row>
    <row r="8" spans="2:20">
      <c r="B8" s="616"/>
      <c r="C8" s="617"/>
      <c r="D8" s="617"/>
      <c r="E8" s="617"/>
      <c r="F8" s="618"/>
      <c r="J8" s="275"/>
      <c r="K8" s="416" t="s">
        <v>213</v>
      </c>
      <c r="L8" s="422">
        <f ca="1">IF((SUM(L6:L7)&gt;0),(SUM(L6:L7)),0)</f>
        <v>45206.7</v>
      </c>
      <c r="M8" s="422"/>
      <c r="N8" s="517"/>
      <c r="O8" s="423"/>
      <c r="Q8" s="342" t="s">
        <v>156</v>
      </c>
      <c r="R8" s="388"/>
      <c r="S8" s="341"/>
      <c r="T8" s="360" t="s">
        <v>168</v>
      </c>
    </row>
    <row r="9" spans="1:20">
      <c r="A9" s="34"/>
      <c r="B9" s="329" t="s">
        <v>66</v>
      </c>
      <c r="C9" s="203"/>
      <c r="D9" s="106"/>
      <c r="E9" s="309" t="s">
        <v>260</v>
      </c>
      <c r="F9" s="310"/>
      <c r="G9" s="188"/>
      <c r="H9" s="186"/>
      <c r="J9" s="275"/>
      <c r="K9" s="416" t="s">
        <v>214</v>
      </c>
      <c r="L9" s="422">
        <f ca="1">C15</f>
        <v>5500</v>
      </c>
      <c r="M9" s="422"/>
      <c r="N9" s="517"/>
      <c r="O9" s="423"/>
      <c r="Q9" s="360" t="s">
        <v>171</v>
      </c>
      <c r="R9" s="389"/>
      <c r="S9" s="341"/>
      <c r="T9" s="360" t="s">
        <v>174</v>
      </c>
    </row>
    <row r="10" spans="1:20">
      <c r="A10" s="34"/>
      <c r="B10" s="199" t="str">
        <f ca="1">IF(('COA worksheet'!D40="UG")*AND('COA worksheet'!D41=0),3500,"")</f>
        <v/>
      </c>
      <c r="C10" s="203"/>
      <c r="D10" s="106"/>
      <c r="E10" s="330" t="s">
        <v>103</v>
      </c>
      <c r="F10" s="331"/>
      <c r="G10" s="102"/>
      <c r="J10" s="320"/>
      <c r="K10" s="521" t="s">
        <v>215</v>
      </c>
      <c r="L10" s="522">
        <f ca="1">IF((((L8/(100-N24))*100)&lt;L9),((L8/(100-N24))*100),L9)</f>
        <v>5500</v>
      </c>
      <c r="M10" s="523">
        <f ca="1">L10*O24</f>
        <v>59.015</v>
      </c>
      <c r="N10" s="524">
        <f ca="1">L10+M10</f>
        <v>5559.015</v>
      </c>
      <c r="O10" s="525">
        <f ca="1">('COA worksheet'!E50-M10)*O24</f>
        <v>58.381769049999996</v>
      </c>
      <c r="Q10" s="360"/>
      <c r="R10" s="389"/>
      <c r="S10" s="341"/>
      <c r="T10" s="360"/>
    </row>
    <row r="11" spans="1:20">
      <c r="A11" s="34"/>
      <c r="B11" s="199" t="str">
        <f ca="1">IF(('COA worksheet'!D40="UG")*AND('COA worksheet'!D41=1),3500,"")</f>
        <v/>
      </c>
      <c r="C11" s="287"/>
      <c r="D11" s="106"/>
      <c r="E11" s="332" t="s">
        <v>136</v>
      </c>
      <c r="F11" s="305">
        <v>42275</v>
      </c>
      <c r="K11" s="416"/>
      <c r="L11" s="422"/>
      <c r="M11" s="422"/>
      <c r="N11" s="519"/>
      <c r="O11" s="423"/>
      <c r="Q11" s="368" t="s">
        <v>150</v>
      </c>
      <c r="R11" s="387"/>
      <c r="S11" s="365"/>
      <c r="T11" s="365"/>
    </row>
    <row r="12" spans="1:20">
      <c r="A12" s="34"/>
      <c r="B12" s="199" t="str">
        <f ca="1">IF((('COA worksheet'!D40="UG")*AND('COA worksheet'!D41=2)),4500,"")</f>
        <v/>
      </c>
      <c r="C12" s="204"/>
      <c r="D12" s="106"/>
      <c r="E12" s="332" t="s">
        <v>133</v>
      </c>
      <c r="F12" s="304">
        <v>42551</v>
      </c>
      <c r="K12" s="416" t="s">
        <v>216</v>
      </c>
      <c r="L12" s="422">
        <f ca="1">L6-L10</f>
        <v>39706.7</v>
      </c>
      <c r="M12" s="422"/>
      <c r="N12" s="519"/>
      <c r="O12" s="423"/>
      <c r="Q12" s="342" t="s">
        <v>158</v>
      </c>
      <c r="R12" s="388"/>
      <c r="S12" s="341"/>
      <c r="T12" s="360" t="s">
        <v>146</v>
      </c>
    </row>
    <row r="13" spans="2:20">
      <c r="B13" s="199">
        <f ca="1">IF((('COA worksheet'!D40="UG")*AND('COA worksheet'!D41="3+")),5500,"")</f>
        <v>5500</v>
      </c>
      <c r="C13" s="205"/>
      <c r="E13" s="332" t="s">
        <v>134</v>
      </c>
      <c r="F13" s="304">
        <v>42278</v>
      </c>
      <c r="I13" s="187"/>
      <c r="J13" s="188"/>
      <c r="K13" s="416" t="s">
        <v>217</v>
      </c>
      <c r="L13" s="422">
        <f ca="1">B15+B21-L10</f>
        <v>2000</v>
      </c>
      <c r="M13" s="422"/>
      <c r="N13" s="519"/>
      <c r="O13" s="423"/>
      <c r="Q13" s="342" t="s">
        <v>159</v>
      </c>
      <c r="R13" s="390"/>
      <c r="S13" s="341"/>
      <c r="T13" s="360" t="s">
        <v>145</v>
      </c>
    </row>
    <row r="14" spans="1:20">
      <c r="A14" s="34"/>
      <c r="B14" s="206" t="str">
        <f ca="1">IF((('COA worksheet'!D40="PG")),8500,"")</f>
        <v/>
      </c>
      <c r="C14" s="200" t="s">
        <v>81</v>
      </c>
      <c r="D14" s="106"/>
      <c r="E14" s="333" t="s">
        <v>135</v>
      </c>
      <c r="F14" s="304">
        <v>42643</v>
      </c>
      <c r="K14" s="521" t="s">
        <v>218</v>
      </c>
      <c r="L14" s="522">
        <f ca="1">IF(L13&gt;L12,L12,L13)</f>
        <v>2000</v>
      </c>
      <c r="M14" s="523">
        <f ca="1">L14*O25</f>
        <v>21.46</v>
      </c>
      <c r="N14" s="524">
        <f ca="1">L14+M14</f>
        <v>2021.46</v>
      </c>
      <c r="O14" s="525">
        <f ca="1">IF((('COA worksheet'!E51-M14)*O25)&gt;0,('COA worksheet'!E51-M14)*O25, 0)</f>
        <v>21.2297342</v>
      </c>
      <c r="Q14" s="342" t="s">
        <v>160</v>
      </c>
      <c r="R14" s="388"/>
      <c r="S14" s="341"/>
      <c r="T14" s="360" t="s">
        <v>144</v>
      </c>
    </row>
    <row r="15" spans="1:20">
      <c r="A15" s="34"/>
      <c r="B15" s="201">
        <f ca="1">SUM(B10:B14)</f>
        <v>5500</v>
      </c>
      <c r="C15" s="207">
        <f ca="1">IF(('COA worksheet'!D40="PG"),0,IF((B15-'COA worksheet'!C49&lt;0),0,B15-'COA worksheet'!C49))</f>
        <v>5500</v>
      </c>
      <c r="D15" s="29"/>
      <c r="G15" s="185"/>
      <c r="K15" s="416"/>
      <c r="L15" s="422"/>
      <c r="M15" s="422"/>
      <c r="N15" s="519"/>
      <c r="O15" s="423"/>
      <c r="Q15" s="342" t="s">
        <v>173</v>
      </c>
      <c r="R15" s="388"/>
      <c r="S15" s="341"/>
      <c r="T15" s="360" t="s">
        <v>172</v>
      </c>
    </row>
    <row r="16" spans="1:20">
      <c r="A16" s="34"/>
      <c r="B16" s="189"/>
      <c r="C16" s="190"/>
      <c r="D16" s="30"/>
      <c r="E16" s="322" t="s">
        <v>114</v>
      </c>
      <c r="F16" s="369" t="s">
        <v>137</v>
      </c>
      <c r="G16" s="369" t="s">
        <v>138</v>
      </c>
      <c r="H16" s="376" t="s">
        <v>102</v>
      </c>
      <c r="I16" s="370"/>
      <c r="K16" s="498" t="s">
        <v>219</v>
      </c>
      <c r="L16" s="499"/>
      <c r="M16" s="500"/>
      <c r="N16" s="520"/>
      <c r="O16" s="501"/>
      <c r="Q16" s="360"/>
      <c r="R16" s="388"/>
      <c r="S16" s="341"/>
      <c r="T16" s="360"/>
    </row>
    <row r="17" spans="1:20">
      <c r="A17" s="79"/>
      <c r="B17" s="198" t="s">
        <v>67</v>
      </c>
      <c r="C17" s="288"/>
      <c r="D17" s="30"/>
      <c r="E17" s="334" t="s">
        <v>77</v>
      </c>
      <c r="F17" s="323">
        <v>42271</v>
      </c>
      <c r="G17" s="324">
        <v>42278</v>
      </c>
      <c r="H17" s="371">
        <f ca="1">'COA worksheet'!F56/3</f>
        <v>15197.067934758959</v>
      </c>
      <c r="I17" s="469">
        <f ca="1">H17/C34</f>
        <v>9210.3442028842182</v>
      </c>
      <c r="K17" s="416" t="s">
        <v>220</v>
      </c>
      <c r="L17" s="422">
        <f ca="1">L6-(L10+L14)</f>
        <v>37706.7</v>
      </c>
      <c r="M17" s="426"/>
      <c r="N17" s="519"/>
      <c r="O17" s="423"/>
      <c r="Q17" s="366" t="s">
        <v>151</v>
      </c>
      <c r="R17" s="387"/>
      <c r="S17" s="365"/>
      <c r="T17" s="365"/>
    </row>
    <row r="18" spans="1:20">
      <c r="A18" s="37"/>
      <c r="B18" s="199">
        <f ca="1">IF((('COA worksheet'!D40="UG")*AND('COA worksheet'!D42="Dependent")),2000,"")</f>
        <v>2000</v>
      </c>
      <c r="C18" s="289"/>
      <c r="D18" s="30"/>
      <c r="E18" s="334" t="s">
        <v>78</v>
      </c>
      <c r="F18" s="325">
        <v>42380</v>
      </c>
      <c r="G18" s="326">
        <v>42387</v>
      </c>
      <c r="H18" s="371">
        <f ca="1">'COA worksheet'!F56/3</f>
        <v>15197.067934758959</v>
      </c>
      <c r="I18" s="469">
        <f ca="1">H18/C34</f>
        <v>9210.3442028842182</v>
      </c>
      <c r="K18" s="416" t="s">
        <v>221</v>
      </c>
      <c r="L18" s="422">
        <f ca="1">K2-L10-L14</f>
        <v>89500</v>
      </c>
      <c r="M18" s="422"/>
      <c r="N18" s="519"/>
      <c r="O18" s="518"/>
      <c r="Q18" s="342" t="s">
        <v>161</v>
      </c>
      <c r="R18" s="391"/>
      <c r="S18" s="341"/>
      <c r="T18" s="360" t="s">
        <v>181</v>
      </c>
    </row>
    <row r="19" spans="1:20">
      <c r="A19" s="261"/>
      <c r="B19" s="199" t="str">
        <f ca="1">IF(('COA worksheet'!D40="UG")*AND('COA worksheet'!D41="3+")*AND('COA worksheet'!D42="Independent"),7000,IF(('COA worksheet'!D40="UG")*AND('COA worksheet'!D41=2)*AND('COA worksheet'!D42="Independent"),6000,IF(('COA worksheet'!D40="UG")*AND('COA worksheet'!D41=1)*AND('COA worksheet'!D42="Independent"),6000,"")))</f>
        <v/>
      </c>
      <c r="C19" s="289"/>
      <c r="D19" s="30"/>
      <c r="E19" s="334" t="s">
        <v>79</v>
      </c>
      <c r="F19" s="325">
        <v>42473</v>
      </c>
      <c r="G19" s="326">
        <v>42480</v>
      </c>
      <c r="H19" s="371">
        <f ca="1">'COA worksheet'!F56/3</f>
        <v>15197.067934758959</v>
      </c>
      <c r="I19" s="469">
        <f ca="1">H19/C34</f>
        <v>9210.3442028842182</v>
      </c>
      <c r="K19" s="521" t="s">
        <v>222</v>
      </c>
      <c r="L19" s="522">
        <f ca="1">IF(L17&lt;L18,L17,L18)</f>
        <v>37706.7</v>
      </c>
      <c r="M19" s="523">
        <f ca="1">L19*O26</f>
        <v>1618.3715639999998</v>
      </c>
      <c r="N19" s="524">
        <f ca="1">L19+M19</f>
        <v>39325.071564</v>
      </c>
      <c r="O19" s="525">
        <f ca="1">IF((('COA worksheet'!E53-M19)*O26)&gt;0,('COA worksheet'!E53-M19)*O26,0)</f>
        <v>1639.1846924731199</v>
      </c>
      <c r="Q19" s="360" t="s">
        <v>162</v>
      </c>
      <c r="R19" s="391"/>
      <c r="S19" s="341"/>
      <c r="T19" s="360" t="s">
        <v>147</v>
      </c>
    </row>
    <row r="20" spans="1:21">
      <c r="A20" s="261"/>
      <c r="B20" s="199" t="str">
        <f ca="1">IF(('COA worksheet'!D40="PG"),12000,"")</f>
        <v/>
      </c>
      <c r="C20" s="200" t="s">
        <v>80</v>
      </c>
      <c r="D20" s="30"/>
      <c r="E20" s="465"/>
      <c r="F20" s="327"/>
      <c r="G20" s="328"/>
      <c r="H20" s="470">
        <f ca="1">SUM(H17:H19)</f>
        <v>45591.203804276876</v>
      </c>
      <c r="I20" s="471">
        <f ca="1">SUM(I17:I19)</f>
        <v>27631.032608652655</v>
      </c>
      <c r="K20" s="526"/>
      <c r="L20" s="527">
        <f ca="1">L10+L14+L19</f>
        <v>45206.7</v>
      </c>
      <c r="M20" s="527">
        <f ca="1">M10+M14+M19</f>
        <v>1698.8465639999997</v>
      </c>
      <c r="N20" s="528">
        <f ca="1">N10+N14+N19</f>
        <v>46905.546564</v>
      </c>
      <c r="O20" s="529">
        <f ca="1">O10+O14+O19</f>
        <v>1718.7961957231198</v>
      </c>
      <c r="Q20" s="360" t="s">
        <v>163</v>
      </c>
      <c r="R20" s="389"/>
      <c r="S20" s="341"/>
      <c r="T20" s="360" t="s">
        <v>182</v>
      </c>
      <c r="U20" s="275"/>
    </row>
    <row r="21" spans="1:21">
      <c r="A21" s="262"/>
      <c r="B21" s="201">
        <f ca="1">SUM(B18:B20)</f>
        <v>2000</v>
      </c>
      <c r="C21" s="202">
        <f ca="1">IF(('COA worksheet'!D40="PG"),B21+B15,B21+'COA worksheet'!C49)</f>
        <v>2000</v>
      </c>
      <c r="D21" s="30"/>
      <c r="F21" s="372"/>
      <c r="G21" s="191"/>
      <c r="H21" s="373"/>
      <c r="I21" s="372"/>
      <c r="Q21" s="341" t="s">
        <v>164</v>
      </c>
      <c r="R21" s="392"/>
      <c r="S21" s="341"/>
      <c r="T21" s="360" t="s">
        <v>148</v>
      </c>
      <c r="U21" s="318"/>
    </row>
    <row r="22" spans="1:21">
      <c r="A22" s="33"/>
      <c r="B22" s="290"/>
      <c r="C22" s="80"/>
      <c r="D22" s="105"/>
      <c r="E22" s="476" t="s">
        <v>74</v>
      </c>
      <c r="F22" s="477" t="s">
        <v>76</v>
      </c>
      <c r="G22" s="478" t="s">
        <v>63</v>
      </c>
      <c r="H22" s="372"/>
      <c r="I22" s="372"/>
      <c r="K22" s="510" t="s">
        <v>242</v>
      </c>
      <c r="L22" s="511"/>
      <c r="M22" s="511"/>
      <c r="N22" s="511"/>
      <c r="O22" s="512"/>
      <c r="Q22" s="341"/>
      <c r="R22" s="318"/>
      <c r="S22" s="318"/>
      <c r="T22" s="318"/>
      <c r="U22" s="275"/>
    </row>
    <row r="23" spans="1:21">
      <c r="A23" s="263"/>
      <c r="B23" s="297" t="s">
        <v>117</v>
      </c>
      <c r="C23" s="291"/>
      <c r="D23" s="106"/>
      <c r="E23" s="480" t="s">
        <v>70</v>
      </c>
      <c r="F23" s="468">
        <v>0.0429</v>
      </c>
      <c r="G23" s="481">
        <f ca="1">'COA worksheet'!F50*F23</f>
        <v>233.445422107755</v>
      </c>
      <c r="H23" s="372"/>
      <c r="I23" s="372"/>
      <c r="K23" s="513" t="s">
        <v>206</v>
      </c>
      <c r="L23" s="507" t="s">
        <v>202</v>
      </c>
      <c r="M23" s="507" t="s">
        <v>209</v>
      </c>
      <c r="N23" s="507" t="s">
        <v>208</v>
      </c>
      <c r="O23" s="514" t="s">
        <v>210</v>
      </c>
      <c r="Q23" s="368" t="s">
        <v>175</v>
      </c>
      <c r="R23" s="364"/>
      <c r="S23" s="365"/>
      <c r="T23" s="365"/>
      <c r="U23" s="400"/>
    </row>
    <row r="24" spans="1:21">
      <c r="A24" s="79"/>
      <c r="B24" s="292" t="str">
        <f ca="1">IF(('COA worksheet'!D40="UG")*AND('COA worksheet'!D41=0)*AND('COA worksheet'!D42="Independent"),9500, IF(('COA worksheet'!D40="UG")*AND('COA worksheet'!D41=0)*AND('COA worksheet'!D42="Dependent"),5500,""))</f>
        <v/>
      </c>
      <c r="C24" s="293"/>
      <c r="D24" s="35"/>
      <c r="E24" s="472" t="s">
        <v>71</v>
      </c>
      <c r="F24" s="483">
        <v>0.0429</v>
      </c>
      <c r="G24" s="473">
        <f ca="1">'COA worksheet'!F51*F24</f>
        <v>84.88924440282</v>
      </c>
      <c r="H24" s="372"/>
      <c r="I24" s="372"/>
      <c r="K24" s="413" t="s">
        <v>203</v>
      </c>
      <c r="L24" s="563">
        <v>1.073</v>
      </c>
      <c r="M24" s="424">
        <v>0</v>
      </c>
      <c r="N24" s="414">
        <f ca="1">L24-M24</f>
        <v>1.073</v>
      </c>
      <c r="O24" s="415">
        <f ca="1">N24/100</f>
        <v>0.01073</v>
      </c>
      <c r="Q24" s="341" t="s">
        <v>188</v>
      </c>
      <c r="R24" s="360"/>
      <c r="S24" s="341"/>
      <c r="T24" s="343">
        <f ca="1">C15</f>
        <v>5500</v>
      </c>
      <c r="U24" s="400"/>
    </row>
    <row r="25" spans="1:20">
      <c r="A25" s="37"/>
      <c r="B25" s="292" t="str">
        <f ca="1">IF(('COA worksheet'!D40="UG")*AND('COA worksheet'!D41=1)*AND('COA worksheet'!D42="Independent"),9500, IF(('COA worksheet'!D40="UG")*AND('COA worksheet'!D41=1)*AND('COA worksheet'!D42="Dependent"),5500,""))</f>
        <v/>
      </c>
      <c r="C25" s="293"/>
      <c r="D25" s="105"/>
      <c r="E25" s="479" t="s">
        <v>72</v>
      </c>
      <c r="F25" s="374">
        <v>0.0684</v>
      </c>
      <c r="G25" s="482">
        <f ca="1">'COA worksheet'!F53*F25</f>
        <v>2610.8837670348385</v>
      </c>
      <c r="H25" s="372"/>
      <c r="I25" s="372"/>
      <c r="K25" s="416" t="s">
        <v>204</v>
      </c>
      <c r="L25" s="564">
        <v>1.073</v>
      </c>
      <c r="M25" s="424">
        <v>0</v>
      </c>
      <c r="N25" s="417">
        <f ca="1">L25-M25</f>
        <v>1.073</v>
      </c>
      <c r="O25" s="418">
        <f ca="1">N25/100</f>
        <v>0.01073</v>
      </c>
      <c r="Q25" s="401" t="s">
        <v>189</v>
      </c>
      <c r="R25" s="402"/>
      <c r="S25" s="402"/>
      <c r="T25" s="403">
        <f ca="1">IF((T37+T24)&gt;T39,T24-((T37+T24)-T39),T24)</f>
        <v>5500</v>
      </c>
    </row>
    <row r="26" spans="1:21">
      <c r="A26" s="33"/>
      <c r="B26" s="292" t="str">
        <f ca="1">IF(('COA worksheet'!D40="UG")*AND('COA worksheet'!D41=2)*AND('COA worksheet'!D42="Independent"),10500, IF(('COA worksheet'!D40="UG")*AND('COA worksheet'!D41=2)*AND('COA worksheet'!D42="Dependent"),6500,""))</f>
        <v/>
      </c>
      <c r="C26" s="293"/>
      <c r="D26" s="106"/>
      <c r="E26" s="474"/>
      <c r="F26" s="375"/>
      <c r="G26" s="475">
        <f ca="1">SUM(G23:G25)</f>
        <v>2929.2184335454135</v>
      </c>
      <c r="H26" s="372"/>
      <c r="I26" s="372"/>
      <c r="K26" s="416" t="s">
        <v>205</v>
      </c>
      <c r="L26" s="564">
        <v>4.292</v>
      </c>
      <c r="M26" s="467">
        <v>0</v>
      </c>
      <c r="N26" s="417">
        <f ca="1">L26-M26</f>
        <v>4.292</v>
      </c>
      <c r="O26" s="418">
        <f ca="1">N26/100</f>
        <v>0.04292</v>
      </c>
      <c r="Q26" s="360" t="s">
        <v>190</v>
      </c>
      <c r="R26" s="342"/>
      <c r="S26" s="341"/>
      <c r="T26" s="377"/>
      <c r="U26" s="400" t="str">
        <f ca="1">IF(T26&gt;T25, "Too much given"," ")</f>
        <v> </v>
      </c>
    </row>
    <row r="27" spans="1:21">
      <c r="A27" s="33"/>
      <c r="B27" s="292">
        <f ca="1">IF(('COA worksheet'!D40="UG")*AND('COA worksheet'!D41="3+")*AND('COA worksheet'!D42="Independent"),12500, IF(('COA worksheet'!D40="UG")*AND('COA worksheet'!D41="3+")*AND('COA worksheet'!D42="Dependent"),7500,""))</f>
        <v>7500</v>
      </c>
      <c r="C27" s="293"/>
      <c r="D27" s="106"/>
      <c r="F27" s="372"/>
      <c r="G27" s="192"/>
      <c r="H27" s="372"/>
      <c r="I27" s="372"/>
      <c r="K27" s="515" t="s">
        <v>206</v>
      </c>
      <c r="L27" s="516" t="s">
        <v>226</v>
      </c>
      <c r="M27" s="497" t="s">
        <v>225</v>
      </c>
      <c r="N27" s="516" t="s">
        <v>241</v>
      </c>
      <c r="O27" s="497" t="s">
        <v>207</v>
      </c>
      <c r="Q27" s="360" t="s">
        <v>191</v>
      </c>
      <c r="R27" s="342"/>
      <c r="S27" s="341"/>
      <c r="T27" s="343">
        <f ca="1">C21</f>
        <v>2000</v>
      </c>
      <c r="U27" s="400"/>
    </row>
    <row r="28" spans="1:21">
      <c r="A28" s="33"/>
      <c r="B28" s="294" t="str">
        <f ca="1">IF((('COA worksheet'!D40="PG")),20500,"")</f>
        <v/>
      </c>
      <c r="C28" s="296" t="s">
        <v>118</v>
      </c>
      <c r="D28" s="106"/>
      <c r="E28" s="321" t="s">
        <v>165</v>
      </c>
      <c r="F28" s="336"/>
      <c r="G28" s="339"/>
      <c r="K28" s="491" t="s">
        <v>36</v>
      </c>
      <c r="L28" s="492">
        <f ca="1">'COA worksheet'!C50</f>
        <v>5500</v>
      </c>
      <c r="M28" s="492">
        <f ca="1">'COA worksheet'!E50</f>
        <v>5500</v>
      </c>
      <c r="N28" s="492">
        <f ca="1">M10</f>
        <v>59.015</v>
      </c>
      <c r="O28" s="493">
        <f ca="1">'COA worksheet'!C50-M10</f>
        <v>5440.985</v>
      </c>
      <c r="Q28" s="404" t="s">
        <v>192</v>
      </c>
      <c r="R28" s="405"/>
      <c r="S28" s="401"/>
      <c r="T28" s="406">
        <f ca="1">IF(T24&gt;T25,(T24-T25+T27),T27)</f>
        <v>2000</v>
      </c>
      <c r="U28" s="407"/>
    </row>
    <row r="29" spans="1:21" customHeight="1">
      <c r="A29" s="33"/>
      <c r="B29" s="295">
        <f ca="1">SUM(B24:B28)</f>
        <v>7500</v>
      </c>
      <c r="C29" s="298">
        <f ca="1">IF((C15+C21)&gt;B29, B29, (C15+C21))</f>
        <v>7500</v>
      </c>
      <c r="D29" s="106"/>
      <c r="E29" s="334" t="s">
        <v>3</v>
      </c>
      <c r="F29" s="238"/>
      <c r="G29" s="335">
        <f ca="1">'COA worksheet'!G16</f>
        <v>18034.5</v>
      </c>
      <c r="K29" s="491" t="s">
        <v>37</v>
      </c>
      <c r="L29" s="492">
        <f ca="1">'COA worksheet'!C51</f>
        <v>2000</v>
      </c>
      <c r="M29" s="492">
        <f ca="1">'COA worksheet'!E51</f>
        <v>2000</v>
      </c>
      <c r="N29" s="492">
        <f ca="1">M14</f>
        <v>21.46</v>
      </c>
      <c r="O29" s="493">
        <f ca="1">'COA worksheet'!C51-M14</f>
        <v>1978.54</v>
      </c>
      <c r="Q29" s="360" t="s">
        <v>193</v>
      </c>
      <c r="R29" s="342"/>
      <c r="S29" s="360"/>
      <c r="T29" s="377"/>
      <c r="U29" s="400" t="str">
        <f ca="1">IF(T29&gt;T28, "Too much given"," ")</f>
        <v> </v>
      </c>
    </row>
    <row r="30" spans="1:21" customHeight="1">
      <c r="A30" s="33"/>
      <c r="D30" s="81"/>
      <c r="E30" s="334" t="s">
        <v>21</v>
      </c>
      <c r="F30" s="238"/>
      <c r="G30" s="335">
        <f ca="1">SUM('COA worksheet'!G18:G25)</f>
        <v>12307.349999999999</v>
      </c>
      <c r="K30" s="488" t="s">
        <v>110</v>
      </c>
      <c r="L30" s="489">
        <f ca="1">L28+L29</f>
        <v>7500</v>
      </c>
      <c r="M30" s="489">
        <f ca="1">M28+M29</f>
        <v>7500</v>
      </c>
      <c r="N30" s="489">
        <f ca="1">N28+N29</f>
        <v>80.475</v>
      </c>
      <c r="O30" s="490">
        <f ca="1">O28+O29</f>
        <v>7419.525</v>
      </c>
      <c r="Q30" s="360" t="s">
        <v>180</v>
      </c>
      <c r="R30" s="362"/>
      <c r="S30" s="360"/>
      <c r="T30" s="361">
        <f ca="1">'COA worksheet'!G44</f>
        <v>0</v>
      </c>
      <c r="U30" s="400"/>
    </row>
    <row r="31" spans="1:21">
      <c r="A31" s="36"/>
      <c r="B31" s="299" t="s">
        <v>73</v>
      </c>
      <c r="C31" s="306">
        <v>1.65</v>
      </c>
      <c r="D31" s="81"/>
      <c r="E31" s="334" t="s">
        <v>4</v>
      </c>
      <c r="F31" s="238"/>
      <c r="G31" s="335">
        <f ca="1">SUM('COA worksheet'!G27:G29)</f>
        <v>14864.85</v>
      </c>
      <c r="K31" s="494" t="s">
        <v>72</v>
      </c>
      <c r="L31" s="495">
        <f ca="1">'COA worksheet'!C53</f>
        <v>39325.071564</v>
      </c>
      <c r="M31" s="495">
        <f ca="1">'COA worksheet'!E55</f>
        <v>39810</v>
      </c>
      <c r="N31" s="495">
        <f ca="1">M19</f>
        <v>1618.3715639999998</v>
      </c>
      <c r="O31" s="496">
        <f ca="1">'COA worksheet'!C53-M19</f>
        <v>37706.7</v>
      </c>
      <c r="Q31" s="360" t="s">
        <v>194</v>
      </c>
      <c r="R31" s="342"/>
      <c r="S31" s="360"/>
      <c r="T31" s="377">
        <v>0</v>
      </c>
      <c r="U31" s="400" t="str">
        <f ca="1">IF((T31+T32)&gt;T30, "Too much given"," ")</f>
        <v> </v>
      </c>
    </row>
    <row r="32" spans="1:21" ht="16.5" customHeight="1">
      <c r="A32" s="38"/>
      <c r="B32" s="619" t="s">
        <v>129</v>
      </c>
      <c r="C32" s="620"/>
      <c r="D32" s="81"/>
      <c r="E32" s="334" t="s">
        <v>5</v>
      </c>
      <c r="F32" s="238"/>
      <c r="G32" s="335">
        <f ca="1">SUM('COA worksheet'!G31)</f>
        <v>0</v>
      </c>
      <c r="K32" s="484" t="s">
        <v>236</v>
      </c>
      <c r="L32" s="485">
        <f ca="1">SUM(L30:L31)</f>
        <v>46825.071564</v>
      </c>
      <c r="M32" s="485">
        <f ca="1">SUM(M30:M31)</f>
        <v>47310</v>
      </c>
      <c r="N32" s="486">
        <f ca="1">SUM(N30:N31)</f>
        <v>1698.8465639999997</v>
      </c>
      <c r="O32" s="487">
        <f ca="1">SUM(O30:O31)</f>
        <v>45126.225</v>
      </c>
      <c r="Q32" s="360" t="s">
        <v>195</v>
      </c>
      <c r="R32" s="342"/>
      <c r="S32" s="360"/>
      <c r="T32" s="377">
        <v>0</v>
      </c>
      <c r="U32" s="400" t="str">
        <f ca="1">IF((T31+T32)&gt;T30, "Too much given"," ")</f>
        <v> </v>
      </c>
    </row>
    <row r="33" spans="1:21" ht="16.5" customHeight="1">
      <c r="A33" s="79"/>
      <c r="B33" s="621"/>
      <c r="C33" s="622"/>
      <c r="D33" s="311"/>
      <c r="E33" s="334" t="s">
        <v>6</v>
      </c>
      <c r="F33" s="238"/>
      <c r="G33" s="335">
        <f ca="1">SUM('COA worksheet'!G32)</f>
        <v>0</v>
      </c>
      <c r="I33" s="188"/>
      <c r="J33" s="188"/>
      <c r="K33" s="459"/>
      <c r="Q33" s="360" t="s">
        <v>196</v>
      </c>
      <c r="R33" s="342"/>
      <c r="S33" s="360"/>
      <c r="T33" s="361">
        <f ca="1">T25+T28+T30</f>
        <v>7500</v>
      </c>
      <c r="U33" s="400"/>
    </row>
    <row r="34" spans="1:21">
      <c r="A34" s="107"/>
      <c r="B34" s="316" t="s">
        <v>130</v>
      </c>
      <c r="C34" s="317">
        <v>1.65</v>
      </c>
      <c r="D34" s="311"/>
      <c r="E34" s="334" t="s">
        <v>7</v>
      </c>
      <c r="F34" s="238"/>
      <c r="G34" s="335">
        <f ca="1">SUM('COA worksheet'!G33)</f>
        <v>0</v>
      </c>
      <c r="K34" s="459"/>
      <c r="Q34" s="360" t="s">
        <v>197</v>
      </c>
      <c r="R34" s="342"/>
      <c r="S34" s="360"/>
      <c r="T34" s="361">
        <f ca="1">T26+T29+T31+T32</f>
        <v>0</v>
      </c>
      <c r="U34" s="400" t="str">
        <f ca="1">IF(T34&gt;T33, "Too much given"," ")</f>
        <v> </v>
      </c>
    </row>
    <row r="35" spans="1:21">
      <c r="A35" s="107"/>
      <c r="B35" s="255" t="s">
        <v>13</v>
      </c>
      <c r="C35" s="256">
        <f ca="1">SUM('COA worksheet'!G37-F56)</f>
        <v>45206.7</v>
      </c>
      <c r="E35" s="334" t="s">
        <v>8</v>
      </c>
      <c r="F35" s="238"/>
      <c r="G35" s="335">
        <f ca="1">SUM('COA worksheet'!G34)</f>
        <v>0</v>
      </c>
      <c r="T35" s="379"/>
      <c r="U35" s="408" t="s">
        <v>201</v>
      </c>
    </row>
    <row r="36" spans="1:20">
      <c r="A36" s="106"/>
      <c r="B36" s="311"/>
      <c r="C36" s="311"/>
      <c r="E36" s="334" t="s">
        <v>9</v>
      </c>
      <c r="F36" s="238"/>
      <c r="G36" s="335">
        <f ca="1">M10+M14+M19</f>
        <v>1698.8465639999997</v>
      </c>
      <c r="I36" s="193"/>
      <c r="J36" s="194"/>
      <c r="Q36" s="385" t="s">
        <v>176</v>
      </c>
      <c r="R36" s="363"/>
      <c r="S36" s="365"/>
      <c r="T36" s="384"/>
    </row>
    <row r="37" spans="1:21">
      <c r="A37" s="106"/>
      <c r="E37" s="321" t="s">
        <v>10</v>
      </c>
      <c r="F37" s="338"/>
      <c r="G37" s="337">
        <f ca="1">SUM(G29:G36)</f>
        <v>46905.546564</v>
      </c>
      <c r="I37" s="196"/>
      <c r="J37" s="197"/>
      <c r="Q37" s="360" t="s">
        <v>198</v>
      </c>
      <c r="R37" s="342"/>
      <c r="S37" s="360"/>
      <c r="T37" s="377"/>
      <c r="U37" s="400"/>
    </row>
    <row r="38" spans="9:21">
      <c r="I38" s="196"/>
      <c r="J38" s="197"/>
      <c r="Q38" s="341" t="s">
        <v>199</v>
      </c>
      <c r="R38" s="340"/>
      <c r="S38" s="340"/>
      <c r="T38" s="379">
        <f ca="1">T25+T37</f>
        <v>5500</v>
      </c>
      <c r="U38" s="400"/>
    </row>
    <row r="39" spans="7:21">
      <c r="G39" s="459"/>
      <c r="I39" s="46"/>
      <c r="J39" s="49"/>
      <c r="Q39" s="341" t="s">
        <v>179</v>
      </c>
      <c r="R39" s="340"/>
      <c r="S39" s="340"/>
      <c r="T39" s="379">
        <f ca="1">IF((('COA worksheet'!D40="PG")),65500,23000)</f>
        <v>23000</v>
      </c>
      <c r="U39" s="340" t="str">
        <f ca="1">IF(T38&gt;T39, "Over aggregate sub limit, adjusting"," ")</f>
        <v> </v>
      </c>
    </row>
    <row r="40" spans="1:21">
      <c r="A40" s="106"/>
      <c r="Q40" s="382" t="s">
        <v>200</v>
      </c>
      <c r="R40" s="378"/>
      <c r="S40" s="340"/>
      <c r="T40" s="380"/>
      <c r="U40" s="400"/>
    </row>
    <row r="41" spans="1:21">
      <c r="A41" s="153"/>
      <c r="D41" s="153"/>
      <c r="E41" s="275"/>
      <c r="G41" s="195"/>
      <c r="H41" s="196"/>
      <c r="Q41" s="383" t="s">
        <v>177</v>
      </c>
      <c r="R41" s="378"/>
      <c r="S41" s="340"/>
      <c r="T41" s="381">
        <f ca="1">T40+T29</f>
        <v>0</v>
      </c>
      <c r="U41" s="400"/>
    </row>
    <row r="42" spans="1:21">
      <c r="A42" s="275"/>
      <c r="D42" s="33"/>
      <c r="Q42" s="341" t="s">
        <v>170</v>
      </c>
      <c r="R42" s="340"/>
      <c r="S42" s="340"/>
      <c r="T42" s="379">
        <f ca="1">T41+T38</f>
        <v>5500</v>
      </c>
      <c r="U42" s="400"/>
    </row>
    <row r="43" spans="1:21">
      <c r="A43" s="275"/>
      <c r="P43" s="340"/>
      <c r="Q43" s="340" t="s">
        <v>178</v>
      </c>
      <c r="R43" s="340"/>
      <c r="S43" s="340"/>
      <c r="T43" s="379">
        <f ca="1">IF(('COA worksheet'!D40="UG")*AND('COA worksheet'!D42="Dependent"),31000,IF(('COA worksheet'!D40="UG")*AND('COA worksheet'!D42="Independent"),57500,138500))</f>
        <v>31000</v>
      </c>
      <c r="U43" s="400" t="str">
        <f ca="1">IF(T42&gt;T43, "Over maximum aggregate limit"," ")</f>
        <v> </v>
      </c>
    </row>
    <row r="44" spans="16:21">
      <c r="P44" s="340"/>
      <c r="Q44" s="340"/>
      <c r="R44" s="340"/>
      <c r="S44" s="340"/>
      <c r="T44" s="379"/>
      <c r="U44" s="408" t="s">
        <v>201</v>
      </c>
    </row>
    <row r="45" spans="16:21">
      <c r="P45" s="340"/>
      <c r="Q45" s="340"/>
      <c r="R45" s="340"/>
      <c r="S45" s="340"/>
      <c r="T45" s="379"/>
      <c r="U45" s="340"/>
    </row>
    <row r="46" spans="16:16">
      <c r="P46" s="340"/>
    </row>
    <row r="47" spans="16:16">
      <c r="P47" s="340"/>
    </row>
    <row r="48" spans="16:16">
      <c r="P48" s="340"/>
    </row>
    <row r="49" spans="16:16">
      <c r="P49" s="340"/>
    </row>
    <row r="50" spans="16:16">
      <c r="P50" s="340"/>
    </row>
    <row r="51" spans="16:16">
      <c r="P51" s="340"/>
    </row>
    <row r="59" spans="8:9">
      <c r="H59" s="340"/>
      <c r="I59" s="340"/>
    </row>
    <row r="60" spans="5:9">
      <c r="E60" s="360"/>
      <c r="F60" s="360"/>
      <c r="G60" s="360"/>
      <c r="H60" s="340"/>
      <c r="I60" s="340"/>
    </row>
  </sheetData>
  <sheetProtection algorithmName="SHA-512" hashValue="ACPwhFpFGx11UzDpDmV6XZb5gYYO7GDFxHV7jv9QpT9EzkLPc+zjLyRWWnRnEOSAdWEQuCWJPyrn8dp1NWhczQ==" saltValue="Gaq76CEjWKMTmbZiiwa5ZA==" spinCount="100000" sheet="1" objects="1" scenarios="1"/>
  <mergeCells count="5">
    <mergeCell ref="F2:G2"/>
    <mergeCell ref="F3:G3"/>
    <mergeCell ref="F4:G4"/>
    <mergeCell ref="B7:F8"/>
    <mergeCell ref="B32:C33"/>
  </mergeCells>
  <pageMargins left="0.25" right="0.25" top="0.75" bottom="0.75" header="0.3" footer="0.3"/>
  <pageSetup paperSize="9" orientation="portrait"/>
</worksheet>
</file>

<file path=xl/worksheets/sheet6.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sheetViews>
    <sheetView view="normal" workbookViewId="0">
      <selection pane="topLeft" activeCell="E43" sqref="E43"/>
    </sheetView>
  </sheetViews>
  <sheetFormatPr defaultRowHeight="15" baseColWidth="0"/>
  <sheetData/>
  <pageMargins left="0.7" right="0.7" top="0.75" bottom="0.75" header="0.3" footer="0.3"/>
  <pageSetup paperSize="9" orientation="portrait"/>
</worksheet>
</file>

<file path=xl/worksheets/sheet7.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sheetViews>
    <sheetView view="normal" workbookViewId="0">
      <selection pane="topLeft" activeCell="A1" sqref="A1"/>
    </sheetView>
  </sheetViews>
  <sheetFormatPr defaultRowHeight="15" baseColWidth="0"/>
  <sheetData/>
  <pageMargins left="0.7" right="0.7" top="0.75" bottom="0.75" header="0.3" footer="0.3"/>
  <pageSetup paperSize="9" orientation="portrait"/>
</worksheet>
</file>

<file path=docProps/app.xml><?xml version="1.0" encoding="utf-8"?>
<Properties xmlns="http://schemas.openxmlformats.org/officeDocument/2006/extended-properties">
  <Application>Essential XlsIO</Application>
  <Company>Southampton Solent University</Company>
  <AppVersion>15.0300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Sam Shelley</dc:creator>
  <cp:lastModifiedBy>Sam Shelley</cp:lastModifiedBy>
  <dcterms:created xsi:type="dcterms:W3CDTF">2011-05-25T08:03:39Z</dcterms:created>
  <dcterms:modified xsi:type="dcterms:W3CDTF">2016-06-10T08:30:23Z</dcterms:modified>
  <cp:lastPrinted>2015-06-12T09:48:30Z</cp:lastPrinted>
  <dc:title>federal-loan-coa-sheet</dc:title>
  <cp:keywords>
  </cp:keywords>
  <dc:subject>
  </dc:subject>
</cp:coreProperties>
</file>

<file path=docProps/custom.xml><?xml version="1.0" encoding="utf-8"?>
<Properties xmlns:vt="http://schemas.openxmlformats.org/officeDocument/2006/docPropsVTypes" xmlns="http://schemas.openxmlformats.org/officeDocument/2006/custom-properties"/>
</file>